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ryscia\Dropbox\Curso Discretas\Notas\"/>
    </mc:Choice>
  </mc:AlternateContent>
  <bookViews>
    <workbookView xWindow="-120" yWindow="-120" windowWidth="19440" windowHeight="15000"/>
  </bookViews>
  <sheets>
    <sheet name="Teoria" sheetId="1" r:id="rId1"/>
    <sheet name="JuegoMesa" sheetId="31" r:id="rId2"/>
    <sheet name="AprendizajeColaborativo" sheetId="4" r:id="rId3"/>
    <sheet name="AprendizajeColaborativo_P1" sheetId="5" r:id="rId4"/>
    <sheet name="AprendizajeColaborativo_P2" sheetId="25" r:id="rId5"/>
    <sheet name="AprendizajeColaborativo_P3" sheetId="26" r:id="rId6"/>
    <sheet name="AprendizajeColaborativo_P4" sheetId="27" r:id="rId7"/>
    <sheet name="AprendizajeColaborativo_P5" sheetId="28" r:id="rId8"/>
    <sheet name="Quices" sheetId="12" r:id="rId9"/>
    <sheet name="Tareas" sheetId="13" r:id="rId10"/>
    <sheet name="Examenes" sheetId="14" r:id="rId11"/>
    <sheet name="Retroalimentacion" sheetId="24" r:id="rId12"/>
    <sheet name="DV-IDENTITY-0" sheetId="17" state="hidden" r:id="rId13"/>
  </sheets>
  <externalReferences>
    <externalReference r:id="rId14"/>
  </externalReferences>
  <definedNames>
    <definedName name="Excel_BuiltIn__FilterDatabase">[1]Teoria!$A$8:$T$31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7" i="1" l="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H83" i="31"/>
  <c r="G83" i="31"/>
  <c r="F83" i="31"/>
  <c r="E83" i="31"/>
  <c r="D83" i="31"/>
  <c r="C83" i="31"/>
  <c r="B83" i="31"/>
  <c r="H82" i="31"/>
  <c r="G82" i="31"/>
  <c r="F82" i="31"/>
  <c r="E82" i="31"/>
  <c r="D82" i="31"/>
  <c r="C82" i="31"/>
  <c r="B82" i="31"/>
  <c r="H81" i="31"/>
  <c r="G81" i="31"/>
  <c r="F81" i="31"/>
  <c r="E81" i="31"/>
  <c r="C81" i="31"/>
  <c r="B81" i="31"/>
  <c r="H80" i="31"/>
  <c r="G80" i="31"/>
  <c r="F80" i="31"/>
  <c r="E80" i="31"/>
  <c r="D80" i="31"/>
  <c r="C80" i="31"/>
  <c r="B80" i="31"/>
  <c r="G79" i="31"/>
  <c r="B79" i="31"/>
  <c r="G78" i="31"/>
  <c r="B78" i="31"/>
  <c r="G77" i="31"/>
  <c r="F77" i="31"/>
  <c r="E77" i="31"/>
  <c r="D77" i="31"/>
  <c r="C77" i="31"/>
  <c r="B77" i="31"/>
  <c r="H76" i="31"/>
  <c r="G76" i="31"/>
  <c r="F76" i="31"/>
  <c r="E76" i="31"/>
  <c r="D76" i="31"/>
  <c r="C76" i="31"/>
  <c r="B76" i="31"/>
  <c r="G75" i="31"/>
  <c r="F75" i="31"/>
  <c r="E75" i="31"/>
  <c r="D75" i="31"/>
  <c r="C75" i="31"/>
  <c r="B75" i="31"/>
  <c r="G74" i="31"/>
  <c r="F74" i="31"/>
  <c r="E74" i="31"/>
  <c r="D74" i="31"/>
  <c r="C74" i="31"/>
  <c r="B74" i="31"/>
  <c r="H73" i="31"/>
  <c r="G73" i="31"/>
  <c r="F73" i="31"/>
  <c r="E73" i="31"/>
  <c r="C73" i="31"/>
  <c r="B73" i="31"/>
  <c r="H72" i="31"/>
  <c r="G72" i="31"/>
  <c r="F72" i="31"/>
  <c r="E72" i="31"/>
  <c r="D72" i="31"/>
  <c r="C72" i="31"/>
  <c r="B72" i="31"/>
  <c r="H71" i="31"/>
  <c r="G71" i="31"/>
  <c r="F71" i="31"/>
  <c r="E71" i="31"/>
  <c r="D71" i="31"/>
  <c r="C71" i="31"/>
  <c r="B71" i="31"/>
  <c r="H70" i="31"/>
  <c r="G70" i="31"/>
  <c r="F70" i="31"/>
  <c r="E70" i="31"/>
  <c r="D70" i="31"/>
  <c r="C70" i="31"/>
  <c r="B70" i="31"/>
  <c r="G69" i="31"/>
  <c r="B69" i="31"/>
  <c r="G68" i="31"/>
  <c r="B68" i="31"/>
  <c r="G67" i="31"/>
  <c r="F67" i="31"/>
  <c r="E67" i="31"/>
  <c r="D67" i="31"/>
  <c r="C67" i="31"/>
  <c r="B67" i="31"/>
  <c r="G66" i="31"/>
  <c r="B66" i="31"/>
  <c r="G65" i="31"/>
  <c r="F65" i="31"/>
  <c r="E65" i="31"/>
  <c r="D65" i="31"/>
  <c r="C65" i="31"/>
  <c r="B65" i="31"/>
  <c r="H64" i="31"/>
  <c r="G64" i="31"/>
  <c r="F64" i="31"/>
  <c r="E64" i="31"/>
  <c r="C64" i="31"/>
  <c r="B64" i="31"/>
  <c r="H63" i="31"/>
  <c r="G63" i="31"/>
  <c r="F63" i="31"/>
  <c r="E63" i="31"/>
  <c r="C63" i="31"/>
  <c r="B63" i="31"/>
  <c r="H62" i="31"/>
  <c r="G62" i="31"/>
  <c r="F62" i="31"/>
  <c r="E62" i="31"/>
  <c r="D62" i="31"/>
  <c r="C62" i="31"/>
  <c r="B62" i="31"/>
  <c r="H61" i="31"/>
  <c r="G61" i="31"/>
  <c r="F61" i="31"/>
  <c r="E61" i="31"/>
  <c r="D61" i="31"/>
  <c r="C61" i="31"/>
  <c r="B61" i="31"/>
  <c r="H60" i="31"/>
  <c r="G60" i="31"/>
  <c r="F60" i="31"/>
  <c r="E60" i="31"/>
  <c r="C60" i="31"/>
  <c r="B60" i="31"/>
  <c r="E141" i="13"/>
  <c r="C141" i="13"/>
  <c r="H7" i="31" l="1"/>
  <c r="D123" i="13"/>
  <c r="E121" i="13"/>
  <c r="D121" i="13"/>
  <c r="E119" i="13"/>
  <c r="D119" i="13"/>
  <c r="C119" i="13"/>
  <c r="D114" i="13"/>
  <c r="E107" i="13"/>
  <c r="E94" i="13"/>
  <c r="D94" i="13"/>
  <c r="C94" i="13"/>
  <c r="B94" i="13"/>
  <c r="E90" i="13"/>
  <c r="D90" i="13"/>
  <c r="B90" i="13"/>
  <c r="E89" i="13"/>
  <c r="E87" i="13"/>
  <c r="D87" i="13"/>
  <c r="E65" i="13"/>
  <c r="D65" i="13"/>
  <c r="C65" i="13"/>
  <c r="B65" i="13"/>
  <c r="E55" i="13"/>
  <c r="E52" i="13"/>
  <c r="D52" i="13"/>
  <c r="E43" i="13"/>
  <c r="E39" i="28"/>
  <c r="D39" i="28"/>
  <c r="C39" i="28"/>
  <c r="E35" i="28"/>
  <c r="D35" i="28"/>
  <c r="C35" i="28"/>
  <c r="B35" i="28"/>
  <c r="E32" i="28"/>
  <c r="D41" i="27"/>
  <c r="E39" i="27"/>
  <c r="D39" i="27"/>
  <c r="E37" i="27"/>
  <c r="D37" i="27"/>
  <c r="C37" i="27"/>
  <c r="D32" i="27"/>
  <c r="E32" i="26"/>
  <c r="D32" i="26"/>
  <c r="D51" i="25"/>
  <c r="E41" i="25"/>
  <c r="D41" i="25"/>
  <c r="E37" i="25"/>
  <c r="D37" i="25"/>
  <c r="C37" i="25"/>
  <c r="B37" i="25"/>
  <c r="D32" i="25"/>
  <c r="E54" i="5"/>
  <c r="E51" i="5"/>
  <c r="D51" i="5"/>
  <c r="B51" i="5"/>
  <c r="E50" i="5"/>
  <c r="E43" i="5"/>
  <c r="C43" i="5"/>
  <c r="B43" i="5"/>
  <c r="E42" i="5"/>
  <c r="B42" i="5"/>
  <c r="E32" i="5"/>
  <c r="D32" i="5"/>
  <c r="F176" i="31"/>
  <c r="F175" i="31"/>
  <c r="F174" i="31"/>
  <c r="F173" i="31"/>
  <c r="G169" i="31"/>
  <c r="G168" i="31"/>
  <c r="G167" i="31"/>
  <c r="G166" i="31"/>
  <c r="G165" i="31"/>
  <c r="G161" i="31"/>
  <c r="G160" i="31"/>
  <c r="G159" i="31"/>
  <c r="G158" i="31"/>
  <c r="G157" i="31"/>
  <c r="G153" i="31"/>
  <c r="G152" i="31"/>
  <c r="G151" i="31"/>
  <c r="G150" i="31"/>
  <c r="G149" i="31"/>
  <c r="G145" i="31"/>
  <c r="G144" i="31"/>
  <c r="G143" i="31"/>
  <c r="G142" i="31"/>
  <c r="G141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P110" i="31"/>
  <c r="P109" i="31"/>
  <c r="G28" i="31" s="1"/>
  <c r="P108" i="31"/>
  <c r="G27" i="31" s="1"/>
  <c r="P107" i="31"/>
  <c r="G26" i="31" s="1"/>
  <c r="P106" i="31"/>
  <c r="P105" i="31"/>
  <c r="G24" i="31" s="1"/>
  <c r="P104" i="31"/>
  <c r="G23" i="31" s="1"/>
  <c r="P103" i="31"/>
  <c r="G22" i="31" s="1"/>
  <c r="P102" i="31"/>
  <c r="P101" i="31"/>
  <c r="G20" i="31" s="1"/>
  <c r="P100" i="31"/>
  <c r="G19" i="31" s="1"/>
  <c r="P99" i="31"/>
  <c r="G18" i="31" s="1"/>
  <c r="P98" i="31"/>
  <c r="P97" i="31"/>
  <c r="G16" i="31" s="1"/>
  <c r="P96" i="31"/>
  <c r="G15" i="31" s="1"/>
  <c r="P95" i="31"/>
  <c r="G14" i="31" s="1"/>
  <c r="P94" i="31"/>
  <c r="P93" i="31"/>
  <c r="G12" i="31" s="1"/>
  <c r="P92" i="31"/>
  <c r="G11" i="31" s="1"/>
  <c r="P91" i="31"/>
  <c r="G10" i="31" s="1"/>
  <c r="P90" i="31"/>
  <c r="P89" i="31"/>
  <c r="G8" i="31" s="1"/>
  <c r="P88" i="31"/>
  <c r="G7" i="31" s="1"/>
  <c r="P87" i="31"/>
  <c r="G6" i="31" s="1"/>
  <c r="J83" i="31"/>
  <c r="L29" i="31" s="1"/>
  <c r="J82" i="31"/>
  <c r="J81" i="31"/>
  <c r="L27" i="31" s="1"/>
  <c r="J80" i="31"/>
  <c r="L26" i="31" s="1"/>
  <c r="J79" i="31"/>
  <c r="J78" i="31"/>
  <c r="J77" i="31"/>
  <c r="L23" i="31" s="1"/>
  <c r="J76" i="31"/>
  <c r="L22" i="31" s="1"/>
  <c r="J75" i="31"/>
  <c r="L21" i="31" s="1"/>
  <c r="J74" i="31"/>
  <c r="L20" i="31" s="1"/>
  <c r="J73" i="31"/>
  <c r="J72" i="31"/>
  <c r="L18" i="31" s="1"/>
  <c r="J71" i="31"/>
  <c r="J70" i="31"/>
  <c r="J69" i="31"/>
  <c r="L15" i="31" s="1"/>
  <c r="J68" i="31"/>
  <c r="L14" i="31" s="1"/>
  <c r="J67" i="31"/>
  <c r="L13" i="31" s="1"/>
  <c r="J66" i="31"/>
  <c r="J65" i="31"/>
  <c r="L11" i="31" s="1"/>
  <c r="J64" i="31"/>
  <c r="L10" i="31" s="1"/>
  <c r="J63" i="31"/>
  <c r="J62" i="31"/>
  <c r="J61" i="31"/>
  <c r="L7" i="31" s="1"/>
  <c r="J60" i="31"/>
  <c r="L6" i="31" s="1"/>
  <c r="F56" i="31"/>
  <c r="F55" i="31"/>
  <c r="K28" i="31" s="1"/>
  <c r="F54" i="31"/>
  <c r="K27" i="31" s="1"/>
  <c r="F53" i="31"/>
  <c r="F52" i="31"/>
  <c r="F51" i="31"/>
  <c r="K24" i="31" s="1"/>
  <c r="F50" i="31"/>
  <c r="F49" i="31"/>
  <c r="F48" i="31"/>
  <c r="F47" i="31"/>
  <c r="K20" i="31" s="1"/>
  <c r="F46" i="31"/>
  <c r="C45" i="31"/>
  <c r="F45" i="31" s="1"/>
  <c r="K18" i="31" s="1"/>
  <c r="F44" i="31"/>
  <c r="F43" i="31"/>
  <c r="F42" i="31"/>
  <c r="F41" i="31"/>
  <c r="F40" i="31"/>
  <c r="F39" i="31"/>
  <c r="F38" i="31"/>
  <c r="C37" i="31"/>
  <c r="B37" i="31"/>
  <c r="F36" i="31"/>
  <c r="F35" i="31"/>
  <c r="E34" i="31"/>
  <c r="D34" i="31"/>
  <c r="F33" i="31"/>
  <c r="K29" i="31"/>
  <c r="I29" i="31"/>
  <c r="H29" i="31"/>
  <c r="G29" i="31"/>
  <c r="F29" i="31"/>
  <c r="E29" i="31"/>
  <c r="D29" i="31"/>
  <c r="C29" i="31"/>
  <c r="L28" i="31"/>
  <c r="I28" i="31"/>
  <c r="H28" i="31"/>
  <c r="F28" i="31"/>
  <c r="E28" i="31"/>
  <c r="D28" i="31"/>
  <c r="C28" i="31"/>
  <c r="I27" i="31"/>
  <c r="H27" i="31"/>
  <c r="F27" i="31"/>
  <c r="E27" i="31"/>
  <c r="D27" i="31"/>
  <c r="C27" i="31"/>
  <c r="K26" i="31"/>
  <c r="I26" i="31"/>
  <c r="H26" i="31"/>
  <c r="F26" i="31"/>
  <c r="E26" i="31"/>
  <c r="D26" i="31"/>
  <c r="C26" i="31"/>
  <c r="L25" i="31"/>
  <c r="I25" i="31"/>
  <c r="H25" i="31"/>
  <c r="G25" i="31"/>
  <c r="F25" i="31"/>
  <c r="E25" i="31"/>
  <c r="D25" i="31"/>
  <c r="C25" i="31"/>
  <c r="L24" i="31"/>
  <c r="I24" i="31"/>
  <c r="H24" i="31"/>
  <c r="F24" i="31"/>
  <c r="E24" i="31"/>
  <c r="D24" i="31"/>
  <c r="C24" i="31"/>
  <c r="I23" i="31"/>
  <c r="H23" i="31"/>
  <c r="F23" i="31"/>
  <c r="E23" i="31"/>
  <c r="D23" i="31"/>
  <c r="C23" i="31"/>
  <c r="I22" i="31"/>
  <c r="H22" i="31"/>
  <c r="F22" i="31"/>
  <c r="E22" i="31"/>
  <c r="D22" i="31"/>
  <c r="C22" i="31"/>
  <c r="I21" i="31"/>
  <c r="H21" i="31"/>
  <c r="G21" i="31"/>
  <c r="F21" i="31"/>
  <c r="E21" i="31"/>
  <c r="D21" i="31"/>
  <c r="C21" i="31"/>
  <c r="I20" i="31"/>
  <c r="H20" i="31"/>
  <c r="F20" i="31"/>
  <c r="E20" i="31"/>
  <c r="D20" i="31"/>
  <c r="C20" i="31"/>
  <c r="L19" i="31"/>
  <c r="I19" i="31"/>
  <c r="H19" i="31"/>
  <c r="F19" i="31"/>
  <c r="E19" i="31"/>
  <c r="D19" i="31"/>
  <c r="C19" i="31"/>
  <c r="I18" i="31"/>
  <c r="H18" i="31"/>
  <c r="F18" i="31"/>
  <c r="E18" i="31"/>
  <c r="D18" i="31"/>
  <c r="C18" i="31"/>
  <c r="L17" i="31"/>
  <c r="I17" i="31"/>
  <c r="H17" i="31"/>
  <c r="G17" i="31"/>
  <c r="F17" i="31"/>
  <c r="E17" i="31"/>
  <c r="D17" i="31"/>
  <c r="C17" i="31"/>
  <c r="L16" i="31"/>
  <c r="I16" i="31"/>
  <c r="H16" i="31"/>
  <c r="F16" i="31"/>
  <c r="E16" i="31"/>
  <c r="D16" i="31"/>
  <c r="C16" i="31"/>
  <c r="I15" i="31"/>
  <c r="H15" i="31"/>
  <c r="F15" i="31"/>
  <c r="E15" i="31"/>
  <c r="D15" i="31"/>
  <c r="C15" i="31"/>
  <c r="T14" i="31"/>
  <c r="S13" i="31" s="1"/>
  <c r="I14" i="31"/>
  <c r="H14" i="31"/>
  <c r="F14" i="31"/>
  <c r="E14" i="31"/>
  <c r="D14" i="31"/>
  <c r="C14" i="31"/>
  <c r="K13" i="31"/>
  <c r="I13" i="31"/>
  <c r="H13" i="31"/>
  <c r="G13" i="31"/>
  <c r="F13" i="31"/>
  <c r="E13" i="31"/>
  <c r="D13" i="31"/>
  <c r="C13" i="31"/>
  <c r="L12" i="31"/>
  <c r="I12" i="31"/>
  <c r="H12" i="31"/>
  <c r="F12" i="31"/>
  <c r="E12" i="31"/>
  <c r="D12" i="31"/>
  <c r="C12" i="31"/>
  <c r="I11" i="31"/>
  <c r="H11" i="31"/>
  <c r="F11" i="31"/>
  <c r="E11" i="31"/>
  <c r="D11" i="31"/>
  <c r="C11" i="31"/>
  <c r="I10" i="31"/>
  <c r="H10" i="31"/>
  <c r="F10" i="31"/>
  <c r="E10" i="31"/>
  <c r="D10" i="31"/>
  <c r="C10" i="31"/>
  <c r="L9" i="31"/>
  <c r="I9" i="31"/>
  <c r="H9" i="31"/>
  <c r="G9" i="31"/>
  <c r="F9" i="31"/>
  <c r="E9" i="31"/>
  <c r="D9" i="31"/>
  <c r="C9" i="31"/>
  <c r="L8" i="31"/>
  <c r="K8" i="31"/>
  <c r="I8" i="31"/>
  <c r="H8" i="31"/>
  <c r="F8" i="31"/>
  <c r="E8" i="31"/>
  <c r="D8" i="31"/>
  <c r="C8" i="31"/>
  <c r="I7" i="31"/>
  <c r="F7" i="31"/>
  <c r="E7" i="31"/>
  <c r="D7" i="31"/>
  <c r="C7" i="31"/>
  <c r="S6" i="31"/>
  <c r="I6" i="31"/>
  <c r="H6" i="31"/>
  <c r="F6" i="31"/>
  <c r="E6" i="31"/>
  <c r="D6" i="31"/>
  <c r="C6" i="31"/>
  <c r="J18" i="31" l="1"/>
  <c r="J10" i="31"/>
  <c r="S11" i="31"/>
  <c r="K19" i="31"/>
  <c r="K6" i="31"/>
  <c r="K14" i="31"/>
  <c r="S7" i="31"/>
  <c r="S10" i="31"/>
  <c r="K9" i="31"/>
  <c r="F37" i="31"/>
  <c r="K10" i="31" s="1"/>
  <c r="K25" i="31"/>
  <c r="K12" i="31"/>
  <c r="K11" i="31"/>
  <c r="K23" i="31"/>
  <c r="N18" i="31"/>
  <c r="H21" i="1" s="1"/>
  <c r="N10" i="31"/>
  <c r="H13" i="1" s="1"/>
  <c r="J14" i="31"/>
  <c r="J20" i="31"/>
  <c r="N20" i="31" s="1"/>
  <c r="H23" i="1" s="1"/>
  <c r="J21" i="31"/>
  <c r="J26" i="31"/>
  <c r="N26" i="31" s="1"/>
  <c r="H29" i="1" s="1"/>
  <c r="K16" i="31"/>
  <c r="K21" i="31"/>
  <c r="K22" i="31"/>
  <c r="K15" i="31"/>
  <c r="J8" i="31"/>
  <c r="N8" i="31" s="1"/>
  <c r="H11" i="1" s="1"/>
  <c r="J9" i="31"/>
  <c r="N9" i="31" s="1"/>
  <c r="H12" i="1" s="1"/>
  <c r="J22" i="31"/>
  <c r="K17" i="31"/>
  <c r="J6" i="31"/>
  <c r="N6" i="31" s="1"/>
  <c r="H9" i="1" s="1"/>
  <c r="J13" i="31"/>
  <c r="N13" i="31" s="1"/>
  <c r="H16" i="1" s="1"/>
  <c r="J17" i="31"/>
  <c r="J25" i="31"/>
  <c r="J29" i="31"/>
  <c r="N29" i="31" s="1"/>
  <c r="H32" i="1" s="1"/>
  <c r="F34" i="31"/>
  <c r="K7" i="31" s="1"/>
  <c r="J7" i="31"/>
  <c r="J11" i="31"/>
  <c r="N11" i="31" s="1"/>
  <c r="H14" i="1" s="1"/>
  <c r="J19" i="31"/>
  <c r="J12" i="31"/>
  <c r="J15" i="31"/>
  <c r="J16" i="31"/>
  <c r="N16" i="31" s="1"/>
  <c r="H19" i="1" s="1"/>
  <c r="J23" i="31"/>
  <c r="N23" i="31" s="1"/>
  <c r="H26" i="1" s="1"/>
  <c r="J24" i="31"/>
  <c r="N24" i="31" s="1"/>
  <c r="H27" i="1" s="1"/>
  <c r="J27" i="31"/>
  <c r="N27" i="31" s="1"/>
  <c r="H30" i="1" s="1"/>
  <c r="J28" i="31"/>
  <c r="N28" i="31" s="1"/>
  <c r="H31" i="1" s="1"/>
  <c r="S8" i="31"/>
  <c r="S12" i="31"/>
  <c r="S9" i="31"/>
  <c r="N25" i="31" l="1"/>
  <c r="H28" i="1" s="1"/>
  <c r="N14" i="31"/>
  <c r="H17" i="1" s="1"/>
  <c r="N21" i="31"/>
  <c r="H24" i="1" s="1"/>
  <c r="N7" i="31"/>
  <c r="H10" i="1" s="1"/>
  <c r="N22" i="31"/>
  <c r="H25" i="1" s="1"/>
  <c r="N12" i="31"/>
  <c r="H15" i="1" s="1"/>
  <c r="N19" i="31"/>
  <c r="H22" i="1" s="1"/>
  <c r="S14" i="31"/>
  <c r="N17" i="31"/>
  <c r="H20" i="1" s="1"/>
  <c r="N15" i="31"/>
  <c r="H18" i="1" s="1"/>
  <c r="E26" i="28"/>
  <c r="E21" i="28"/>
  <c r="E20" i="28"/>
  <c r="E19" i="28"/>
  <c r="E18" i="28"/>
  <c r="E14" i="28"/>
  <c r="E11" i="28"/>
  <c r="E9" i="28"/>
  <c r="E6" i="28"/>
  <c r="E5" i="28"/>
  <c r="F5" i="28"/>
  <c r="F6" i="28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4" i="28"/>
  <c r="H6" i="14" l="1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5" i="14"/>
  <c r="J6" i="14" l="1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5" i="14"/>
  <c r="E27" i="26" l="1"/>
  <c r="E26" i="26"/>
  <c r="E24" i="26"/>
  <c r="E23" i="26"/>
  <c r="E22" i="26"/>
  <c r="E21" i="26"/>
  <c r="E20" i="26"/>
  <c r="E19" i="26"/>
  <c r="E18" i="26"/>
  <c r="E16" i="26"/>
  <c r="E15" i="26"/>
  <c r="E14" i="26"/>
  <c r="E13" i="26"/>
  <c r="E12" i="26"/>
  <c r="E11" i="26"/>
  <c r="E10" i="26"/>
  <c r="E9" i="26"/>
  <c r="E6" i="26"/>
  <c r="E5" i="26"/>
  <c r="F5" i="26" l="1"/>
  <c r="F6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4" i="26"/>
  <c r="F5" i="25" l="1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4" i="25"/>
  <c r="K17" i="24" l="1"/>
  <c r="K7" i="25" l="1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F61" i="25"/>
  <c r="H7" i="25" s="1"/>
  <c r="F62" i="25"/>
  <c r="H8" i="25" s="1"/>
  <c r="F63" i="25"/>
  <c r="H9" i="25" s="1"/>
  <c r="F64" i="25"/>
  <c r="F65" i="25"/>
  <c r="F66" i="25"/>
  <c r="H12" i="25" s="1"/>
  <c r="F67" i="25"/>
  <c r="H13" i="25" s="1"/>
  <c r="F68" i="25"/>
  <c r="H14" i="25" s="1"/>
  <c r="F69" i="25"/>
  <c r="F70" i="25"/>
  <c r="H16" i="25" s="1"/>
  <c r="F71" i="25"/>
  <c r="H17" i="25" s="1"/>
  <c r="F72" i="25"/>
  <c r="H18" i="25" s="1"/>
  <c r="F73" i="25"/>
  <c r="H19" i="25" s="1"/>
  <c r="F74" i="25"/>
  <c r="H20" i="25" s="1"/>
  <c r="F75" i="25"/>
  <c r="H21" i="25" s="1"/>
  <c r="F76" i="25"/>
  <c r="H22" i="25" s="1"/>
  <c r="F77" i="25"/>
  <c r="H23" i="25" s="1"/>
  <c r="F78" i="25"/>
  <c r="H24" i="25" s="1"/>
  <c r="F79" i="25"/>
  <c r="H25" i="25" s="1"/>
  <c r="F80" i="25"/>
  <c r="H26" i="25" s="1"/>
  <c r="F81" i="25"/>
  <c r="F34" i="25"/>
  <c r="L7" i="25" s="1"/>
  <c r="F35" i="25"/>
  <c r="L8" i="25" s="1"/>
  <c r="F36" i="25"/>
  <c r="L9" i="25" s="1"/>
  <c r="F37" i="25"/>
  <c r="L10" i="25" s="1"/>
  <c r="F38" i="25"/>
  <c r="L11" i="25" s="1"/>
  <c r="F39" i="25"/>
  <c r="L12" i="25" s="1"/>
  <c r="F40" i="25"/>
  <c r="L13" i="25" s="1"/>
  <c r="F41" i="25"/>
  <c r="L14" i="25" s="1"/>
  <c r="F42" i="25"/>
  <c r="L15" i="25" s="1"/>
  <c r="F43" i="25"/>
  <c r="L16" i="25" s="1"/>
  <c r="F44" i="25"/>
  <c r="L17" i="25" s="1"/>
  <c r="F45" i="25"/>
  <c r="L18" i="25" s="1"/>
  <c r="F46" i="25"/>
  <c r="L19" i="25" s="1"/>
  <c r="F47" i="25"/>
  <c r="L20" i="25" s="1"/>
  <c r="F48" i="25"/>
  <c r="L21" i="25" s="1"/>
  <c r="F49" i="25"/>
  <c r="L22" i="25" s="1"/>
  <c r="F50" i="25"/>
  <c r="L23" i="25" s="1"/>
  <c r="F51" i="25"/>
  <c r="L24" i="25" s="1"/>
  <c r="F52" i="25"/>
  <c r="L25" i="25" s="1"/>
  <c r="F53" i="25"/>
  <c r="L26" i="25" s="1"/>
  <c r="F54" i="25"/>
  <c r="L27" i="25" s="1"/>
  <c r="K31" i="1"/>
  <c r="K6" i="26"/>
  <c r="K7" i="26"/>
  <c r="K8" i="26"/>
  <c r="K9" i="26"/>
  <c r="K10" i="26"/>
  <c r="K11" i="26"/>
  <c r="K12" i="26"/>
  <c r="K13" i="26"/>
  <c r="K14" i="26"/>
  <c r="K15" i="26"/>
  <c r="K16" i="26"/>
  <c r="K17" i="26"/>
  <c r="K18" i="26"/>
  <c r="K19" i="26"/>
  <c r="K20" i="26"/>
  <c r="K21" i="26"/>
  <c r="K22" i="26"/>
  <c r="K23" i="26"/>
  <c r="K24" i="26"/>
  <c r="K25" i="26"/>
  <c r="K26" i="26"/>
  <c r="K27" i="26"/>
  <c r="F54" i="26"/>
  <c r="L27" i="26" s="1"/>
  <c r="F81" i="26"/>
  <c r="H27" i="26" s="1"/>
  <c r="F6" i="27"/>
  <c r="K6" i="27"/>
  <c r="F7" i="27"/>
  <c r="K7" i="27"/>
  <c r="F8" i="27"/>
  <c r="K8" i="27"/>
  <c r="F9" i="27"/>
  <c r="K9" i="27"/>
  <c r="F10" i="27"/>
  <c r="K10" i="27"/>
  <c r="F11" i="27"/>
  <c r="K11" i="27"/>
  <c r="F12" i="27"/>
  <c r="K12" i="27"/>
  <c r="F13" i="27"/>
  <c r="K13" i="27"/>
  <c r="F14" i="27"/>
  <c r="K14" i="27"/>
  <c r="F15" i="27"/>
  <c r="K15" i="27"/>
  <c r="F16" i="27"/>
  <c r="K16" i="27"/>
  <c r="F17" i="27"/>
  <c r="K17" i="27"/>
  <c r="F18" i="27"/>
  <c r="K18" i="27"/>
  <c r="F19" i="27"/>
  <c r="K19" i="27"/>
  <c r="F20" i="27"/>
  <c r="K20" i="27"/>
  <c r="F21" i="27"/>
  <c r="K21" i="27"/>
  <c r="F22" i="27"/>
  <c r="K22" i="27"/>
  <c r="F23" i="27"/>
  <c r="K23" i="27"/>
  <c r="F24" i="27"/>
  <c r="K24" i="27"/>
  <c r="F25" i="27"/>
  <c r="K25" i="27"/>
  <c r="F26" i="27"/>
  <c r="K26" i="27"/>
  <c r="F27" i="27"/>
  <c r="K27" i="27"/>
  <c r="F53" i="27"/>
  <c r="L26" i="27" s="1"/>
  <c r="F54" i="27"/>
  <c r="L27" i="27" s="1"/>
  <c r="F80" i="27"/>
  <c r="H26" i="27" s="1"/>
  <c r="F81" i="27"/>
  <c r="H27" i="27" s="1"/>
  <c r="K5" i="28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2" i="28"/>
  <c r="K23" i="28"/>
  <c r="K24" i="28"/>
  <c r="K25" i="28"/>
  <c r="K26" i="28"/>
  <c r="K27" i="28"/>
  <c r="F53" i="28"/>
  <c r="L26" i="28" s="1"/>
  <c r="F54" i="28"/>
  <c r="L27" i="28" s="1"/>
  <c r="F80" i="28"/>
  <c r="H26" i="28" s="1"/>
  <c r="F81" i="28"/>
  <c r="H27" i="28" s="1"/>
  <c r="G27" i="12"/>
  <c r="D32" i="1" s="1"/>
  <c r="E32" i="1" s="1"/>
  <c r="D27" i="14"/>
  <c r="J31" i="1" s="1"/>
  <c r="G27" i="14"/>
  <c r="L31" i="1"/>
  <c r="D28" i="14"/>
  <c r="J32" i="1" s="1"/>
  <c r="G28" i="14"/>
  <c r="K32" i="1" s="1"/>
  <c r="L32" i="1"/>
  <c r="K27" i="24"/>
  <c r="N32" i="1" s="1"/>
  <c r="F162" i="13"/>
  <c r="O27" i="13" s="1"/>
  <c r="P27" i="13" s="1"/>
  <c r="F163" i="13"/>
  <c r="O28" i="13" s="1"/>
  <c r="P28" i="13" s="1"/>
  <c r="F135" i="13"/>
  <c r="F136" i="13"/>
  <c r="L28" i="13" s="1"/>
  <c r="M28" i="13" s="1"/>
  <c r="F107" i="13"/>
  <c r="F108" i="13"/>
  <c r="I27" i="13" s="1"/>
  <c r="J27" i="13" s="1"/>
  <c r="F109" i="13"/>
  <c r="I28" i="13" s="1"/>
  <c r="J28" i="13" s="1"/>
  <c r="F81" i="13"/>
  <c r="F27" i="13" s="1"/>
  <c r="G27" i="13" s="1"/>
  <c r="F82" i="13"/>
  <c r="F28" i="13" s="1"/>
  <c r="G28" i="13" s="1"/>
  <c r="F54" i="13"/>
  <c r="C27" i="13" s="1"/>
  <c r="D27" i="13" s="1"/>
  <c r="F55" i="13"/>
  <c r="C28" i="13" s="1"/>
  <c r="D28" i="13" s="1"/>
  <c r="L27" i="13"/>
  <c r="M27" i="13" s="1"/>
  <c r="K27" i="5"/>
  <c r="F81" i="5"/>
  <c r="H27" i="5" s="1"/>
  <c r="F54" i="5"/>
  <c r="L27" i="5" s="1"/>
  <c r="H27" i="25" l="1"/>
  <c r="I27" i="25" s="1"/>
  <c r="M27" i="25" s="1"/>
  <c r="C27" i="4" s="1"/>
  <c r="H15" i="25"/>
  <c r="I15" i="25" s="1"/>
  <c r="M15" i="25" s="1"/>
  <c r="C15" i="4" s="1"/>
  <c r="H11" i="25"/>
  <c r="I11" i="25" s="1"/>
  <c r="M11" i="25" s="1"/>
  <c r="C11" i="4" s="1"/>
  <c r="H10" i="25"/>
  <c r="J10" i="25" s="1"/>
  <c r="J18" i="25"/>
  <c r="J26" i="25"/>
  <c r="J22" i="25"/>
  <c r="J14" i="25"/>
  <c r="J20" i="25"/>
  <c r="I12" i="25"/>
  <c r="M12" i="25" s="1"/>
  <c r="C12" i="4" s="1"/>
  <c r="I27" i="5"/>
  <c r="M27" i="5" s="1"/>
  <c r="B27" i="4" s="1"/>
  <c r="J24" i="25"/>
  <c r="J12" i="25"/>
  <c r="I8" i="25"/>
  <c r="M8" i="25" s="1"/>
  <c r="C8" i="4" s="1"/>
  <c r="J8" i="25"/>
  <c r="J19" i="25"/>
  <c r="J23" i="25"/>
  <c r="I21" i="25"/>
  <c r="M21" i="25" s="1"/>
  <c r="C21" i="4" s="1"/>
  <c r="I16" i="25"/>
  <c r="M16" i="25" s="1"/>
  <c r="C16" i="4" s="1"/>
  <c r="I17" i="25"/>
  <c r="M17" i="25" s="1"/>
  <c r="C17" i="4" s="1"/>
  <c r="J27" i="25"/>
  <c r="I26" i="25"/>
  <c r="M26" i="25" s="1"/>
  <c r="C26" i="4" s="1"/>
  <c r="I25" i="25"/>
  <c r="M25" i="25" s="1"/>
  <c r="C25" i="4" s="1"/>
  <c r="I20" i="25"/>
  <c r="M20" i="25" s="1"/>
  <c r="C20" i="4" s="1"/>
  <c r="I19" i="25"/>
  <c r="M19" i="25" s="1"/>
  <c r="C19" i="4" s="1"/>
  <c r="J11" i="25"/>
  <c r="I9" i="25"/>
  <c r="M9" i="25" s="1"/>
  <c r="C9" i="4" s="1"/>
  <c r="I24" i="25"/>
  <c r="M24" i="25" s="1"/>
  <c r="C24" i="4" s="1"/>
  <c r="I23" i="25"/>
  <c r="M23" i="25" s="1"/>
  <c r="C23" i="4" s="1"/>
  <c r="J16" i="25"/>
  <c r="J15" i="25"/>
  <c r="I13" i="25"/>
  <c r="M13" i="25" s="1"/>
  <c r="C13" i="4" s="1"/>
  <c r="I7" i="25"/>
  <c r="M7" i="25" s="1"/>
  <c r="C7" i="4" s="1"/>
  <c r="I27" i="26"/>
  <c r="J26" i="27"/>
  <c r="I26" i="27"/>
  <c r="M26" i="27" s="1"/>
  <c r="E26" i="4" s="1"/>
  <c r="I27" i="27"/>
  <c r="M27" i="27" s="1"/>
  <c r="E27" i="4" s="1"/>
  <c r="I26" i="28"/>
  <c r="M26" i="28" s="1"/>
  <c r="F26" i="4" s="1"/>
  <c r="I27" i="28"/>
  <c r="M27" i="28" s="1"/>
  <c r="F27" i="4" s="1"/>
  <c r="I32" i="1"/>
  <c r="I22" i="25"/>
  <c r="M22" i="25" s="1"/>
  <c r="C22" i="4" s="1"/>
  <c r="I18" i="25"/>
  <c r="M18" i="25" s="1"/>
  <c r="C18" i="4" s="1"/>
  <c r="I14" i="25"/>
  <c r="M14" i="25" s="1"/>
  <c r="C14" i="4" s="1"/>
  <c r="J7" i="25"/>
  <c r="J25" i="25"/>
  <c r="J21" i="25"/>
  <c r="J17" i="25"/>
  <c r="J13" i="25"/>
  <c r="J9" i="25"/>
  <c r="M27" i="26"/>
  <c r="D27" i="4" s="1"/>
  <c r="J27" i="26"/>
  <c r="J27" i="27"/>
  <c r="J26" i="28"/>
  <c r="J27" i="28"/>
  <c r="Q28" i="13"/>
  <c r="F32" i="1" s="1"/>
  <c r="G32" i="1" s="1"/>
  <c r="Q27" i="13"/>
  <c r="F31" i="1" s="1"/>
  <c r="J27" i="5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I10" i="25" l="1"/>
  <c r="M10" i="25" s="1"/>
  <c r="C10" i="4" s="1"/>
  <c r="G27" i="4"/>
  <c r="B32" i="1" s="1"/>
  <c r="C32" i="1" s="1"/>
  <c r="I21" i="1"/>
  <c r="I22" i="1"/>
  <c r="I15" i="1"/>
  <c r="I23" i="1"/>
  <c r="I16" i="1"/>
  <c r="I24" i="1"/>
  <c r="I31" i="1"/>
  <c r="I30" i="1"/>
  <c r="I18" i="1"/>
  <c r="I26" i="1"/>
  <c r="I29" i="1"/>
  <c r="I19" i="1"/>
  <c r="I12" i="1"/>
  <c r="I28" i="1"/>
  <c r="I13" i="1"/>
  <c r="I11" i="1"/>
  <c r="I20" i="1"/>
  <c r="I10" i="1"/>
  <c r="I9" i="1"/>
  <c r="I17" i="1"/>
  <c r="I14" i="1"/>
  <c r="I27" i="1"/>
  <c r="I25" i="1"/>
  <c r="H29" i="14"/>
  <c r="E29" i="14"/>
  <c r="F5" i="27" l="1"/>
  <c r="F4" i="27"/>
  <c r="B29" i="14" l="1"/>
  <c r="K5" i="24" l="1"/>
  <c r="K6" i="24"/>
  <c r="K7" i="24"/>
  <c r="K8" i="24"/>
  <c r="N13" i="1" s="1"/>
  <c r="K9" i="24"/>
  <c r="N14" i="1" s="1"/>
  <c r="K10" i="24"/>
  <c r="N15" i="1" s="1"/>
  <c r="K11" i="24"/>
  <c r="N16" i="1" s="1"/>
  <c r="K12" i="24"/>
  <c r="N17" i="1" s="1"/>
  <c r="K13" i="24"/>
  <c r="N18" i="1" s="1"/>
  <c r="K14" i="24"/>
  <c r="N19" i="1" s="1"/>
  <c r="K15" i="24"/>
  <c r="N20" i="1" s="1"/>
  <c r="K16" i="24"/>
  <c r="N21" i="1" s="1"/>
  <c r="N22" i="1"/>
  <c r="K18" i="24"/>
  <c r="N23" i="1" s="1"/>
  <c r="K19" i="24"/>
  <c r="N24" i="1" s="1"/>
  <c r="K20" i="24"/>
  <c r="N25" i="1" s="1"/>
  <c r="K21" i="24"/>
  <c r="N26" i="1" s="1"/>
  <c r="K22" i="24"/>
  <c r="N27" i="1" s="1"/>
  <c r="K23" i="24"/>
  <c r="N28" i="1" s="1"/>
  <c r="K24" i="24"/>
  <c r="N29" i="1" s="1"/>
  <c r="K25" i="24"/>
  <c r="N30" i="1" s="1"/>
  <c r="K26" i="24"/>
  <c r="N31" i="1" s="1"/>
  <c r="K4" i="24"/>
  <c r="C29" i="14" l="1"/>
  <c r="F161" i="13" l="1"/>
  <c r="O26" i="13" s="1"/>
  <c r="P26" i="13" s="1"/>
  <c r="F160" i="13"/>
  <c r="O25" i="13" s="1"/>
  <c r="P25" i="13" s="1"/>
  <c r="F159" i="13"/>
  <c r="O24" i="13" s="1"/>
  <c r="P24" i="13" s="1"/>
  <c r="F158" i="13"/>
  <c r="O23" i="13" s="1"/>
  <c r="P23" i="13" s="1"/>
  <c r="F157" i="13"/>
  <c r="O22" i="13" s="1"/>
  <c r="P22" i="13" s="1"/>
  <c r="F156" i="13"/>
  <c r="O21" i="13" s="1"/>
  <c r="P21" i="13" s="1"/>
  <c r="F155" i="13"/>
  <c r="O20" i="13" s="1"/>
  <c r="P20" i="13" s="1"/>
  <c r="F154" i="13"/>
  <c r="O19" i="13" s="1"/>
  <c r="P19" i="13" s="1"/>
  <c r="F153" i="13"/>
  <c r="O18" i="13" s="1"/>
  <c r="F152" i="13"/>
  <c r="O17" i="13" s="1"/>
  <c r="P17" i="13" s="1"/>
  <c r="F151" i="13"/>
  <c r="O16" i="13" s="1"/>
  <c r="P16" i="13" s="1"/>
  <c r="F150" i="13"/>
  <c r="O15" i="13" s="1"/>
  <c r="P15" i="13" s="1"/>
  <c r="F149" i="13"/>
  <c r="O14" i="13" s="1"/>
  <c r="P14" i="13" s="1"/>
  <c r="F148" i="13"/>
  <c r="O13" i="13" s="1"/>
  <c r="P13" i="13" s="1"/>
  <c r="F147" i="13"/>
  <c r="O12" i="13" s="1"/>
  <c r="P12" i="13" s="1"/>
  <c r="F146" i="13"/>
  <c r="O11" i="13" s="1"/>
  <c r="P11" i="13" s="1"/>
  <c r="F145" i="13"/>
  <c r="O10" i="13" s="1"/>
  <c r="P10" i="13" s="1"/>
  <c r="F144" i="13"/>
  <c r="O9" i="13" s="1"/>
  <c r="P9" i="13" s="1"/>
  <c r="F143" i="13"/>
  <c r="O8" i="13" s="1"/>
  <c r="P8" i="13" s="1"/>
  <c r="F142" i="13"/>
  <c r="O7" i="13" s="1"/>
  <c r="P7" i="13" s="1"/>
  <c r="F141" i="13"/>
  <c r="O6" i="13" s="1"/>
  <c r="P6" i="13" s="1"/>
  <c r="F140" i="13"/>
  <c r="O5" i="13" s="1"/>
  <c r="P5" i="13" s="1"/>
  <c r="F134" i="13"/>
  <c r="L26" i="13" s="1"/>
  <c r="M26" i="13" s="1"/>
  <c r="F133" i="13"/>
  <c r="L25" i="13" s="1"/>
  <c r="M25" i="13" s="1"/>
  <c r="F132" i="13"/>
  <c r="L24" i="13" s="1"/>
  <c r="M24" i="13" s="1"/>
  <c r="F131" i="13"/>
  <c r="L23" i="13" s="1"/>
  <c r="M23" i="13" s="1"/>
  <c r="F130" i="13"/>
  <c r="L22" i="13" s="1"/>
  <c r="M22" i="13" s="1"/>
  <c r="F129" i="13"/>
  <c r="L21" i="13" s="1"/>
  <c r="M21" i="13" s="1"/>
  <c r="F128" i="13"/>
  <c r="L20" i="13" s="1"/>
  <c r="M20" i="13" s="1"/>
  <c r="F127" i="13"/>
  <c r="L19" i="13" s="1"/>
  <c r="M19" i="13" s="1"/>
  <c r="F126" i="13"/>
  <c r="L18" i="13" s="1"/>
  <c r="M18" i="13" s="1"/>
  <c r="F125" i="13"/>
  <c r="L17" i="13" s="1"/>
  <c r="M17" i="13" s="1"/>
  <c r="F124" i="13"/>
  <c r="L16" i="13" s="1"/>
  <c r="M16" i="13" s="1"/>
  <c r="F123" i="13"/>
  <c r="L15" i="13" s="1"/>
  <c r="M15" i="13" s="1"/>
  <c r="F122" i="13"/>
  <c r="L14" i="13" s="1"/>
  <c r="M14" i="13" s="1"/>
  <c r="F121" i="13"/>
  <c r="L13" i="13" s="1"/>
  <c r="M13" i="13" s="1"/>
  <c r="F120" i="13"/>
  <c r="L12" i="13" s="1"/>
  <c r="M12" i="13" s="1"/>
  <c r="F119" i="13"/>
  <c r="L11" i="13" s="1"/>
  <c r="M11" i="13" s="1"/>
  <c r="F118" i="13"/>
  <c r="L10" i="13" s="1"/>
  <c r="M10" i="13" s="1"/>
  <c r="F117" i="13"/>
  <c r="L9" i="13" s="1"/>
  <c r="M9" i="13" s="1"/>
  <c r="F116" i="13"/>
  <c r="L8" i="13" s="1"/>
  <c r="M8" i="13" s="1"/>
  <c r="F115" i="13"/>
  <c r="L7" i="13" s="1"/>
  <c r="M7" i="13" s="1"/>
  <c r="F114" i="13"/>
  <c r="L6" i="13" s="1"/>
  <c r="M6" i="13" s="1"/>
  <c r="F113" i="13"/>
  <c r="L5" i="13" s="1"/>
  <c r="M5" i="13" s="1"/>
  <c r="I26" i="13"/>
  <c r="J26" i="13" s="1"/>
  <c r="F106" i="13"/>
  <c r="I25" i="13" s="1"/>
  <c r="J25" i="13" s="1"/>
  <c r="F105" i="13"/>
  <c r="I24" i="13" s="1"/>
  <c r="J24" i="13" s="1"/>
  <c r="F104" i="13"/>
  <c r="I23" i="13" s="1"/>
  <c r="J23" i="13" s="1"/>
  <c r="F103" i="13"/>
  <c r="I22" i="13" s="1"/>
  <c r="J22" i="13" s="1"/>
  <c r="F102" i="13"/>
  <c r="I21" i="13" s="1"/>
  <c r="J21" i="13" s="1"/>
  <c r="F101" i="13"/>
  <c r="I20" i="13" s="1"/>
  <c r="J20" i="13" s="1"/>
  <c r="F100" i="13"/>
  <c r="I19" i="13" s="1"/>
  <c r="J19" i="13" s="1"/>
  <c r="F99" i="13"/>
  <c r="I18" i="13" s="1"/>
  <c r="J18" i="13" s="1"/>
  <c r="F98" i="13"/>
  <c r="I17" i="13" s="1"/>
  <c r="J17" i="13" s="1"/>
  <c r="F97" i="13"/>
  <c r="I16" i="13" s="1"/>
  <c r="J16" i="13" s="1"/>
  <c r="F96" i="13"/>
  <c r="I15" i="13" s="1"/>
  <c r="J15" i="13" s="1"/>
  <c r="F95" i="13"/>
  <c r="I14" i="13" s="1"/>
  <c r="J14" i="13" s="1"/>
  <c r="F94" i="13"/>
  <c r="I13" i="13" s="1"/>
  <c r="J13" i="13" s="1"/>
  <c r="F93" i="13"/>
  <c r="I12" i="13" s="1"/>
  <c r="J12" i="13" s="1"/>
  <c r="F92" i="13"/>
  <c r="I11" i="13" s="1"/>
  <c r="J11" i="13" s="1"/>
  <c r="F91" i="13"/>
  <c r="I10" i="13" s="1"/>
  <c r="J10" i="13" s="1"/>
  <c r="F90" i="13"/>
  <c r="I9" i="13" s="1"/>
  <c r="J9" i="13" s="1"/>
  <c r="F89" i="13"/>
  <c r="I8" i="13" s="1"/>
  <c r="J8" i="13" s="1"/>
  <c r="F88" i="13"/>
  <c r="I7" i="13" s="1"/>
  <c r="J7" i="13" s="1"/>
  <c r="F87" i="13"/>
  <c r="I6" i="13" s="1"/>
  <c r="J6" i="13" s="1"/>
  <c r="F86" i="13"/>
  <c r="I5" i="13" s="1"/>
  <c r="J5" i="13" s="1"/>
  <c r="F80" i="13"/>
  <c r="F26" i="13" s="1"/>
  <c r="G26" i="13" s="1"/>
  <c r="F79" i="13"/>
  <c r="F25" i="13" s="1"/>
  <c r="G25" i="13" s="1"/>
  <c r="F78" i="13"/>
  <c r="F24" i="13" s="1"/>
  <c r="G24" i="13" s="1"/>
  <c r="F77" i="13"/>
  <c r="F23" i="13" s="1"/>
  <c r="G23" i="13" s="1"/>
  <c r="F76" i="13"/>
  <c r="F22" i="13" s="1"/>
  <c r="G22" i="13" s="1"/>
  <c r="F75" i="13"/>
  <c r="F21" i="13" s="1"/>
  <c r="G21" i="13" s="1"/>
  <c r="F74" i="13"/>
  <c r="F20" i="13" s="1"/>
  <c r="G20" i="13" s="1"/>
  <c r="F73" i="13"/>
  <c r="F19" i="13" s="1"/>
  <c r="G19" i="13" s="1"/>
  <c r="F72" i="13"/>
  <c r="F18" i="13" s="1"/>
  <c r="G18" i="13" s="1"/>
  <c r="F71" i="13"/>
  <c r="F17" i="13" s="1"/>
  <c r="G17" i="13" s="1"/>
  <c r="F70" i="13"/>
  <c r="F16" i="13" s="1"/>
  <c r="G16" i="13" s="1"/>
  <c r="F69" i="13"/>
  <c r="F15" i="13" s="1"/>
  <c r="G15" i="13" s="1"/>
  <c r="F68" i="13"/>
  <c r="F14" i="13" s="1"/>
  <c r="G14" i="13" s="1"/>
  <c r="F67" i="13"/>
  <c r="F13" i="13" s="1"/>
  <c r="G13" i="13" s="1"/>
  <c r="F66" i="13"/>
  <c r="F12" i="13" s="1"/>
  <c r="G12" i="13" s="1"/>
  <c r="F65" i="13"/>
  <c r="F11" i="13" s="1"/>
  <c r="G11" i="13" s="1"/>
  <c r="F64" i="13"/>
  <c r="F10" i="13" s="1"/>
  <c r="G10" i="13" s="1"/>
  <c r="F63" i="13"/>
  <c r="F9" i="13" s="1"/>
  <c r="G9" i="13" s="1"/>
  <c r="F62" i="13"/>
  <c r="F8" i="13" s="1"/>
  <c r="G8" i="13" s="1"/>
  <c r="F61" i="13"/>
  <c r="F7" i="13" s="1"/>
  <c r="G7" i="13" s="1"/>
  <c r="F60" i="13"/>
  <c r="F6" i="13" s="1"/>
  <c r="G6" i="13" s="1"/>
  <c r="F59" i="13"/>
  <c r="F5" i="13" s="1"/>
  <c r="G5" i="13" s="1"/>
  <c r="P18" i="13"/>
  <c r="C6" i="13"/>
  <c r="D6" i="13" s="1"/>
  <c r="C7" i="13"/>
  <c r="D7" i="13" s="1"/>
  <c r="C8" i="13"/>
  <c r="D8" i="13" s="1"/>
  <c r="C9" i="13"/>
  <c r="D9" i="13" s="1"/>
  <c r="C10" i="13"/>
  <c r="D10" i="13" s="1"/>
  <c r="C11" i="13"/>
  <c r="D11" i="13" s="1"/>
  <c r="C12" i="13"/>
  <c r="D12" i="13" s="1"/>
  <c r="C13" i="13"/>
  <c r="D13" i="13" s="1"/>
  <c r="C14" i="13"/>
  <c r="D14" i="13" s="1"/>
  <c r="C15" i="13"/>
  <c r="D15" i="13" s="1"/>
  <c r="C16" i="13"/>
  <c r="D16" i="13" s="1"/>
  <c r="C17" i="13"/>
  <c r="D17" i="13" s="1"/>
  <c r="C18" i="13"/>
  <c r="D18" i="13" s="1"/>
  <c r="C19" i="13"/>
  <c r="D19" i="13" s="1"/>
  <c r="C20" i="13"/>
  <c r="D20" i="13" s="1"/>
  <c r="C21" i="13"/>
  <c r="D21" i="13" s="1"/>
  <c r="C22" i="13"/>
  <c r="D22" i="13" s="1"/>
  <c r="C23" i="13"/>
  <c r="D23" i="13" s="1"/>
  <c r="C24" i="13"/>
  <c r="D24" i="13" s="1"/>
  <c r="C25" i="13"/>
  <c r="D25" i="13" s="1"/>
  <c r="C26" i="13"/>
  <c r="D26" i="13" s="1"/>
  <c r="C5" i="13"/>
  <c r="D5" i="13" s="1"/>
  <c r="F79" i="28"/>
  <c r="H25" i="28" s="1"/>
  <c r="F78" i="28"/>
  <c r="H24" i="28" s="1"/>
  <c r="F77" i="28"/>
  <c r="H23" i="28" s="1"/>
  <c r="F76" i="28"/>
  <c r="H22" i="28" s="1"/>
  <c r="F75" i="28"/>
  <c r="H21" i="28" s="1"/>
  <c r="F74" i="28"/>
  <c r="H20" i="28" s="1"/>
  <c r="F73" i="28"/>
  <c r="H19" i="28" s="1"/>
  <c r="F72" i="28"/>
  <c r="H18" i="28" s="1"/>
  <c r="F71" i="28"/>
  <c r="H17" i="28" s="1"/>
  <c r="F70" i="28"/>
  <c r="H16" i="28" s="1"/>
  <c r="F69" i="28"/>
  <c r="H15" i="28" s="1"/>
  <c r="F68" i="28"/>
  <c r="H14" i="28" s="1"/>
  <c r="F67" i="28"/>
  <c r="H13" i="28" s="1"/>
  <c r="F66" i="28"/>
  <c r="H12" i="28" s="1"/>
  <c r="F65" i="28"/>
  <c r="H11" i="28" s="1"/>
  <c r="F64" i="28"/>
  <c r="H10" i="28" s="1"/>
  <c r="F63" i="28"/>
  <c r="H9" i="28" s="1"/>
  <c r="F62" i="28"/>
  <c r="H8" i="28" s="1"/>
  <c r="F61" i="28"/>
  <c r="H7" i="28" s="1"/>
  <c r="F60" i="28"/>
  <c r="H6" i="28" s="1"/>
  <c r="F59" i="28"/>
  <c r="H5" i="28" s="1"/>
  <c r="F58" i="28"/>
  <c r="F52" i="28"/>
  <c r="L25" i="28" s="1"/>
  <c r="F51" i="28"/>
  <c r="L24" i="28" s="1"/>
  <c r="F50" i="28"/>
  <c r="L23" i="28" s="1"/>
  <c r="F49" i="28"/>
  <c r="L22" i="28" s="1"/>
  <c r="F48" i="28"/>
  <c r="L21" i="28" s="1"/>
  <c r="F47" i="28"/>
  <c r="L20" i="28" s="1"/>
  <c r="F46" i="28"/>
  <c r="L19" i="28" s="1"/>
  <c r="F45" i="28"/>
  <c r="L18" i="28" s="1"/>
  <c r="F44" i="28"/>
  <c r="L17" i="28" s="1"/>
  <c r="F43" i="28"/>
  <c r="L16" i="28" s="1"/>
  <c r="F42" i="28"/>
  <c r="L15" i="28" s="1"/>
  <c r="F41" i="28"/>
  <c r="L14" i="28" s="1"/>
  <c r="F40" i="28"/>
  <c r="L13" i="28" s="1"/>
  <c r="F39" i="28"/>
  <c r="L12" i="28" s="1"/>
  <c r="F38" i="28"/>
  <c r="L11" i="28" s="1"/>
  <c r="F37" i="28"/>
  <c r="L10" i="28" s="1"/>
  <c r="F36" i="28"/>
  <c r="L9" i="28" s="1"/>
  <c r="F35" i="28"/>
  <c r="L8" i="28" s="1"/>
  <c r="F34" i="28"/>
  <c r="L7" i="28" s="1"/>
  <c r="F33" i="28"/>
  <c r="L6" i="28" s="1"/>
  <c r="F32" i="28"/>
  <c r="L5" i="28" s="1"/>
  <c r="F31" i="28"/>
  <c r="L4" i="28" s="1"/>
  <c r="K4" i="28"/>
  <c r="F79" i="27"/>
  <c r="H25" i="27" s="1"/>
  <c r="F78" i="27"/>
  <c r="H24" i="27" s="1"/>
  <c r="F77" i="27"/>
  <c r="H23" i="27" s="1"/>
  <c r="F76" i="27"/>
  <c r="H22" i="27" s="1"/>
  <c r="F75" i="27"/>
  <c r="H21" i="27" s="1"/>
  <c r="F74" i="27"/>
  <c r="H20" i="27" s="1"/>
  <c r="F73" i="27"/>
  <c r="H19" i="27" s="1"/>
  <c r="F72" i="27"/>
  <c r="H18" i="27" s="1"/>
  <c r="F71" i="27"/>
  <c r="H17" i="27" s="1"/>
  <c r="F70" i="27"/>
  <c r="H16" i="27" s="1"/>
  <c r="F69" i="27"/>
  <c r="H15" i="27" s="1"/>
  <c r="F68" i="27"/>
  <c r="H14" i="27" s="1"/>
  <c r="F67" i="27"/>
  <c r="H13" i="27" s="1"/>
  <c r="F66" i="27"/>
  <c r="H12" i="27" s="1"/>
  <c r="F65" i="27"/>
  <c r="H11" i="27" s="1"/>
  <c r="F64" i="27"/>
  <c r="H10" i="27" s="1"/>
  <c r="F63" i="27"/>
  <c r="H9" i="27" s="1"/>
  <c r="F62" i="27"/>
  <c r="H8" i="27" s="1"/>
  <c r="F61" i="27"/>
  <c r="H7" i="27" s="1"/>
  <c r="F60" i="27"/>
  <c r="H6" i="27" s="1"/>
  <c r="F59" i="27"/>
  <c r="H5" i="27" s="1"/>
  <c r="J5" i="27" s="1"/>
  <c r="F58" i="27"/>
  <c r="H4" i="27" s="1"/>
  <c r="F52" i="27"/>
  <c r="L25" i="27" s="1"/>
  <c r="F51" i="27"/>
  <c r="L24" i="27" s="1"/>
  <c r="F50" i="27"/>
  <c r="L23" i="27" s="1"/>
  <c r="F49" i="27"/>
  <c r="L22" i="27" s="1"/>
  <c r="F48" i="27"/>
  <c r="L21" i="27" s="1"/>
  <c r="F47" i="27"/>
  <c r="L20" i="27" s="1"/>
  <c r="F46" i="27"/>
  <c r="L19" i="27" s="1"/>
  <c r="F45" i="27"/>
  <c r="L18" i="27" s="1"/>
  <c r="F44" i="27"/>
  <c r="L17" i="27" s="1"/>
  <c r="F43" i="27"/>
  <c r="L16" i="27" s="1"/>
  <c r="F42" i="27"/>
  <c r="L15" i="27" s="1"/>
  <c r="F41" i="27"/>
  <c r="L14" i="27" s="1"/>
  <c r="F40" i="27"/>
  <c r="L13" i="27" s="1"/>
  <c r="F39" i="27"/>
  <c r="L12" i="27" s="1"/>
  <c r="F38" i="27"/>
  <c r="L11" i="27" s="1"/>
  <c r="F37" i="27"/>
  <c r="L10" i="27" s="1"/>
  <c r="F36" i="27"/>
  <c r="L9" i="27" s="1"/>
  <c r="F35" i="27"/>
  <c r="L8" i="27" s="1"/>
  <c r="F34" i="27"/>
  <c r="L7" i="27" s="1"/>
  <c r="F33" i="27"/>
  <c r="L6" i="27" s="1"/>
  <c r="F32" i="27"/>
  <c r="L5" i="27" s="1"/>
  <c r="F31" i="27"/>
  <c r="L4" i="27" s="1"/>
  <c r="K5" i="27"/>
  <c r="K4" i="27"/>
  <c r="F80" i="26"/>
  <c r="H26" i="26" s="1"/>
  <c r="F79" i="26"/>
  <c r="H25" i="26" s="1"/>
  <c r="F78" i="26"/>
  <c r="H24" i="26" s="1"/>
  <c r="F77" i="26"/>
  <c r="H23" i="26" s="1"/>
  <c r="F76" i="26"/>
  <c r="H22" i="26" s="1"/>
  <c r="F75" i="26"/>
  <c r="H21" i="26" s="1"/>
  <c r="F74" i="26"/>
  <c r="H20" i="26" s="1"/>
  <c r="F73" i="26"/>
  <c r="H19" i="26" s="1"/>
  <c r="F72" i="26"/>
  <c r="H18" i="26" s="1"/>
  <c r="F71" i="26"/>
  <c r="H17" i="26" s="1"/>
  <c r="F70" i="26"/>
  <c r="H16" i="26" s="1"/>
  <c r="F69" i="26"/>
  <c r="H15" i="26" s="1"/>
  <c r="F68" i="26"/>
  <c r="H14" i="26" s="1"/>
  <c r="F67" i="26"/>
  <c r="H13" i="26" s="1"/>
  <c r="F66" i="26"/>
  <c r="H12" i="26" s="1"/>
  <c r="F65" i="26"/>
  <c r="H11" i="26" s="1"/>
  <c r="F64" i="26"/>
  <c r="H10" i="26" s="1"/>
  <c r="F63" i="26"/>
  <c r="H9" i="26" s="1"/>
  <c r="F62" i="26"/>
  <c r="H8" i="26" s="1"/>
  <c r="F61" i="26"/>
  <c r="H7" i="26" s="1"/>
  <c r="F60" i="26"/>
  <c r="H6" i="26" s="1"/>
  <c r="F59" i="26"/>
  <c r="F58" i="26"/>
  <c r="F53" i="26"/>
  <c r="L26" i="26" s="1"/>
  <c r="F52" i="26"/>
  <c r="L25" i="26" s="1"/>
  <c r="F51" i="26"/>
  <c r="L24" i="26" s="1"/>
  <c r="F50" i="26"/>
  <c r="L23" i="26" s="1"/>
  <c r="F49" i="26"/>
  <c r="L22" i="26" s="1"/>
  <c r="F48" i="26"/>
  <c r="L21" i="26" s="1"/>
  <c r="F47" i="26"/>
  <c r="L20" i="26" s="1"/>
  <c r="F46" i="26"/>
  <c r="L19" i="26" s="1"/>
  <c r="F45" i="26"/>
  <c r="L18" i="26" s="1"/>
  <c r="F44" i="26"/>
  <c r="L17" i="26" s="1"/>
  <c r="F43" i="26"/>
  <c r="L16" i="26" s="1"/>
  <c r="F42" i="26"/>
  <c r="L15" i="26" s="1"/>
  <c r="F41" i="26"/>
  <c r="L14" i="26" s="1"/>
  <c r="F40" i="26"/>
  <c r="L13" i="26" s="1"/>
  <c r="F39" i="26"/>
  <c r="L12" i="26" s="1"/>
  <c r="F38" i="26"/>
  <c r="L11" i="26" s="1"/>
  <c r="F37" i="26"/>
  <c r="L10" i="26" s="1"/>
  <c r="F36" i="26"/>
  <c r="L9" i="26" s="1"/>
  <c r="F35" i="26"/>
  <c r="L8" i="26" s="1"/>
  <c r="F34" i="26"/>
  <c r="L7" i="26" s="1"/>
  <c r="F33" i="26"/>
  <c r="L6" i="26" s="1"/>
  <c r="F32" i="26"/>
  <c r="L5" i="26" s="1"/>
  <c r="F31" i="26"/>
  <c r="L4" i="26" s="1"/>
  <c r="K5" i="26"/>
  <c r="K4" i="26"/>
  <c r="F60" i="25"/>
  <c r="F59" i="25"/>
  <c r="F58" i="25"/>
  <c r="H4" i="25" s="1"/>
  <c r="F33" i="25"/>
  <c r="L6" i="25" s="1"/>
  <c r="F32" i="25"/>
  <c r="L5" i="25" s="1"/>
  <c r="F31" i="25"/>
  <c r="L4" i="25" s="1"/>
  <c r="K6" i="25"/>
  <c r="K5" i="25"/>
  <c r="K4" i="25"/>
  <c r="F32" i="5"/>
  <c r="L5" i="5" s="1"/>
  <c r="F33" i="5"/>
  <c r="L6" i="5" s="1"/>
  <c r="F34" i="5"/>
  <c r="L7" i="5" s="1"/>
  <c r="F35" i="5"/>
  <c r="L8" i="5" s="1"/>
  <c r="F36" i="5"/>
  <c r="L9" i="5" s="1"/>
  <c r="F37" i="5"/>
  <c r="L10" i="5" s="1"/>
  <c r="F38" i="5"/>
  <c r="L11" i="5" s="1"/>
  <c r="F39" i="5"/>
  <c r="L12" i="5" s="1"/>
  <c r="F40" i="5"/>
  <c r="L13" i="5" s="1"/>
  <c r="F41" i="5"/>
  <c r="L14" i="5" s="1"/>
  <c r="F42" i="5"/>
  <c r="L15" i="5" s="1"/>
  <c r="F43" i="5"/>
  <c r="L16" i="5" s="1"/>
  <c r="F44" i="5"/>
  <c r="L17" i="5" s="1"/>
  <c r="F45" i="5"/>
  <c r="L18" i="5" s="1"/>
  <c r="F46" i="5"/>
  <c r="L19" i="5" s="1"/>
  <c r="F47" i="5"/>
  <c r="L20" i="5" s="1"/>
  <c r="F48" i="5"/>
  <c r="L21" i="5" s="1"/>
  <c r="F49" i="5"/>
  <c r="L22" i="5" s="1"/>
  <c r="F50" i="5"/>
  <c r="L23" i="5" s="1"/>
  <c r="F51" i="5"/>
  <c r="L24" i="5" s="1"/>
  <c r="F52" i="5"/>
  <c r="L25" i="5" s="1"/>
  <c r="F53" i="5"/>
  <c r="L26" i="5" s="1"/>
  <c r="F31" i="5"/>
  <c r="L4" i="5" s="1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4" i="5"/>
  <c r="H4" i="28" l="1"/>
  <c r="J4" i="28" s="1"/>
  <c r="H5" i="26"/>
  <c r="I5" i="26" s="1"/>
  <c r="M5" i="26" s="1"/>
  <c r="D5" i="4" s="1"/>
  <c r="H4" i="26"/>
  <c r="J4" i="26" s="1"/>
  <c r="H5" i="25"/>
  <c r="I5" i="25" s="1"/>
  <c r="M5" i="25" s="1"/>
  <c r="C5" i="4" s="1"/>
  <c r="H6" i="25"/>
  <c r="J6" i="25" s="1"/>
  <c r="J9" i="26"/>
  <c r="I9" i="26"/>
  <c r="M9" i="26" s="1"/>
  <c r="D9" i="4" s="1"/>
  <c r="I17" i="26"/>
  <c r="M17" i="26" s="1"/>
  <c r="D17" i="4" s="1"/>
  <c r="J17" i="26"/>
  <c r="I6" i="26"/>
  <c r="M6" i="26" s="1"/>
  <c r="D6" i="4" s="1"/>
  <c r="J6" i="26"/>
  <c r="I10" i="26"/>
  <c r="M10" i="26" s="1"/>
  <c r="D10" i="4" s="1"/>
  <c r="J10" i="26"/>
  <c r="I14" i="26"/>
  <c r="M14" i="26" s="1"/>
  <c r="D14" i="4" s="1"/>
  <c r="J14" i="26"/>
  <c r="I18" i="26"/>
  <c r="M18" i="26" s="1"/>
  <c r="D18" i="4" s="1"/>
  <c r="J18" i="26"/>
  <c r="I22" i="26"/>
  <c r="M22" i="26" s="1"/>
  <c r="D22" i="4" s="1"/>
  <c r="J22" i="26"/>
  <c r="J26" i="26"/>
  <c r="I26" i="26"/>
  <c r="M26" i="26" s="1"/>
  <c r="D26" i="4" s="1"/>
  <c r="J21" i="26"/>
  <c r="I21" i="26"/>
  <c r="M21" i="26" s="1"/>
  <c r="D21" i="4" s="1"/>
  <c r="J7" i="26"/>
  <c r="I7" i="26"/>
  <c r="M7" i="26" s="1"/>
  <c r="D7" i="4" s="1"/>
  <c r="I11" i="26"/>
  <c r="M11" i="26" s="1"/>
  <c r="D11" i="4" s="1"/>
  <c r="J11" i="26"/>
  <c r="I15" i="26"/>
  <c r="M15" i="26" s="1"/>
  <c r="D15" i="4" s="1"/>
  <c r="J15" i="26"/>
  <c r="J19" i="26"/>
  <c r="I19" i="26"/>
  <c r="M19" i="26" s="1"/>
  <c r="D19" i="4" s="1"/>
  <c r="J23" i="26"/>
  <c r="I23" i="26"/>
  <c r="M23" i="26" s="1"/>
  <c r="D23" i="4" s="1"/>
  <c r="J13" i="26"/>
  <c r="I13" i="26"/>
  <c r="M13" i="26" s="1"/>
  <c r="D13" i="4" s="1"/>
  <c r="J25" i="26"/>
  <c r="I25" i="26"/>
  <c r="M25" i="26" s="1"/>
  <c r="D25" i="4" s="1"/>
  <c r="I8" i="26"/>
  <c r="M8" i="26" s="1"/>
  <c r="D8" i="4" s="1"/>
  <c r="J8" i="26"/>
  <c r="J12" i="26"/>
  <c r="I12" i="26"/>
  <c r="M12" i="26" s="1"/>
  <c r="D12" i="4" s="1"/>
  <c r="I16" i="26"/>
  <c r="M16" i="26" s="1"/>
  <c r="D16" i="4" s="1"/>
  <c r="J16" i="26"/>
  <c r="I20" i="26"/>
  <c r="M20" i="26" s="1"/>
  <c r="D20" i="4" s="1"/>
  <c r="J20" i="26"/>
  <c r="I24" i="26"/>
  <c r="M24" i="26" s="1"/>
  <c r="D24" i="4" s="1"/>
  <c r="J24" i="26"/>
  <c r="I10" i="27"/>
  <c r="M10" i="27" s="1"/>
  <c r="E10" i="4" s="1"/>
  <c r="J10" i="27"/>
  <c r="I14" i="27"/>
  <c r="M14" i="27" s="1"/>
  <c r="E14" i="4" s="1"/>
  <c r="J14" i="27"/>
  <c r="I7" i="27"/>
  <c r="M7" i="27" s="1"/>
  <c r="E7" i="4" s="1"/>
  <c r="J7" i="27"/>
  <c r="J11" i="27"/>
  <c r="I11" i="27"/>
  <c r="M11" i="27" s="1"/>
  <c r="E11" i="4" s="1"/>
  <c r="I15" i="27"/>
  <c r="M15" i="27" s="1"/>
  <c r="E15" i="4" s="1"/>
  <c r="J15" i="27"/>
  <c r="I19" i="27"/>
  <c r="M19" i="27" s="1"/>
  <c r="E19" i="4" s="1"/>
  <c r="J19" i="27"/>
  <c r="I23" i="27"/>
  <c r="M23" i="27" s="1"/>
  <c r="E23" i="4" s="1"/>
  <c r="J23" i="27"/>
  <c r="J22" i="27"/>
  <c r="I22" i="27"/>
  <c r="M22" i="27" s="1"/>
  <c r="E22" i="4" s="1"/>
  <c r="J8" i="27"/>
  <c r="I8" i="27"/>
  <c r="M8" i="27" s="1"/>
  <c r="E8" i="4" s="1"/>
  <c r="I12" i="27"/>
  <c r="M12" i="27" s="1"/>
  <c r="E12" i="4" s="1"/>
  <c r="J12" i="27"/>
  <c r="J16" i="27"/>
  <c r="I16" i="27"/>
  <c r="M16" i="27" s="1"/>
  <c r="E16" i="4" s="1"/>
  <c r="I20" i="27"/>
  <c r="M20" i="27" s="1"/>
  <c r="E20" i="4" s="1"/>
  <c r="J20" i="27"/>
  <c r="I24" i="27"/>
  <c r="M24" i="27" s="1"/>
  <c r="E24" i="4" s="1"/>
  <c r="J24" i="27"/>
  <c r="J6" i="27"/>
  <c r="I6" i="27"/>
  <c r="M6" i="27" s="1"/>
  <c r="E6" i="4" s="1"/>
  <c r="J18" i="27"/>
  <c r="I18" i="27"/>
  <c r="M18" i="27" s="1"/>
  <c r="E18" i="4" s="1"/>
  <c r="I9" i="27"/>
  <c r="M9" i="27" s="1"/>
  <c r="E9" i="4" s="1"/>
  <c r="J9" i="27"/>
  <c r="I13" i="27"/>
  <c r="M13" i="27" s="1"/>
  <c r="E13" i="4" s="1"/>
  <c r="J13" i="27"/>
  <c r="J17" i="27"/>
  <c r="I17" i="27"/>
  <c r="M17" i="27" s="1"/>
  <c r="E17" i="4" s="1"/>
  <c r="I21" i="27"/>
  <c r="M21" i="27" s="1"/>
  <c r="E21" i="4" s="1"/>
  <c r="J21" i="27"/>
  <c r="I25" i="27"/>
  <c r="M25" i="27" s="1"/>
  <c r="E25" i="4" s="1"/>
  <c r="J25" i="27"/>
  <c r="J13" i="28"/>
  <c r="I13" i="28"/>
  <c r="M13" i="28" s="1"/>
  <c r="F13" i="4" s="1"/>
  <c r="I25" i="28"/>
  <c r="M25" i="28" s="1"/>
  <c r="F25" i="4" s="1"/>
  <c r="J25" i="28"/>
  <c r="I6" i="28"/>
  <c r="M6" i="28" s="1"/>
  <c r="F6" i="4" s="1"/>
  <c r="J6" i="28"/>
  <c r="I10" i="28"/>
  <c r="M10" i="28" s="1"/>
  <c r="F10" i="4" s="1"/>
  <c r="J10" i="28"/>
  <c r="I14" i="28"/>
  <c r="M14" i="28" s="1"/>
  <c r="F14" i="4" s="1"/>
  <c r="J14" i="28"/>
  <c r="I18" i="28"/>
  <c r="M18" i="28" s="1"/>
  <c r="F18" i="4" s="1"/>
  <c r="J18" i="28"/>
  <c r="J22" i="28"/>
  <c r="I22" i="28"/>
  <c r="M22" i="28" s="1"/>
  <c r="F22" i="4" s="1"/>
  <c r="I9" i="28"/>
  <c r="M9" i="28" s="1"/>
  <c r="F9" i="4" s="1"/>
  <c r="J9" i="28"/>
  <c r="J21" i="28"/>
  <c r="I21" i="28"/>
  <c r="M21" i="28" s="1"/>
  <c r="F21" i="4" s="1"/>
  <c r="J7" i="28"/>
  <c r="I7" i="28"/>
  <c r="M7" i="28" s="1"/>
  <c r="F7" i="4" s="1"/>
  <c r="J11" i="28"/>
  <c r="I11" i="28"/>
  <c r="M11" i="28" s="1"/>
  <c r="F11" i="4" s="1"/>
  <c r="I15" i="28"/>
  <c r="M15" i="28" s="1"/>
  <c r="F15" i="4" s="1"/>
  <c r="J15" i="28"/>
  <c r="I19" i="28"/>
  <c r="M19" i="28" s="1"/>
  <c r="F19" i="4" s="1"/>
  <c r="J19" i="28"/>
  <c r="I23" i="28"/>
  <c r="M23" i="28" s="1"/>
  <c r="F23" i="4" s="1"/>
  <c r="J23" i="28"/>
  <c r="J5" i="28"/>
  <c r="I5" i="28"/>
  <c r="M5" i="28" s="1"/>
  <c r="F5" i="4" s="1"/>
  <c r="I17" i="28"/>
  <c r="M17" i="28" s="1"/>
  <c r="F17" i="4" s="1"/>
  <c r="J17" i="28"/>
  <c r="I8" i="28"/>
  <c r="M8" i="28" s="1"/>
  <c r="F8" i="4" s="1"/>
  <c r="J8" i="28"/>
  <c r="J12" i="28"/>
  <c r="I12" i="28"/>
  <c r="M12" i="28" s="1"/>
  <c r="F12" i="4" s="1"/>
  <c r="J16" i="28"/>
  <c r="I16" i="28"/>
  <c r="M16" i="28" s="1"/>
  <c r="F16" i="4" s="1"/>
  <c r="I20" i="28"/>
  <c r="M20" i="28" s="1"/>
  <c r="F20" i="4" s="1"/>
  <c r="J20" i="28"/>
  <c r="J24" i="28"/>
  <c r="I24" i="28"/>
  <c r="M24" i="28" s="1"/>
  <c r="F24" i="4" s="1"/>
  <c r="I4" i="28"/>
  <c r="M4" i="28" s="1"/>
  <c r="F4" i="4" s="1"/>
  <c r="J5" i="26"/>
  <c r="Q23" i="13"/>
  <c r="F27" i="1" s="1"/>
  <c r="Q18" i="13"/>
  <c r="F22" i="1" s="1"/>
  <c r="J4" i="25"/>
  <c r="I4" i="25"/>
  <c r="M4" i="25" s="1"/>
  <c r="C4" i="4" s="1"/>
  <c r="I6" i="25"/>
  <c r="M6" i="25" s="1"/>
  <c r="C6" i="4" s="1"/>
  <c r="Q6" i="13"/>
  <c r="Q10" i="13"/>
  <c r="F14" i="1" s="1"/>
  <c r="Q14" i="13"/>
  <c r="F18" i="1" s="1"/>
  <c r="Q22" i="13"/>
  <c r="F26" i="1" s="1"/>
  <c r="Q26" i="13"/>
  <c r="F30" i="1" s="1"/>
  <c r="Q24" i="13"/>
  <c r="F28" i="1" s="1"/>
  <c r="Q8" i="13"/>
  <c r="Q7" i="13"/>
  <c r="Q19" i="13"/>
  <c r="F23" i="1" s="1"/>
  <c r="G31" i="1"/>
  <c r="Q12" i="13"/>
  <c r="F16" i="1" s="1"/>
  <c r="Q16" i="13"/>
  <c r="F20" i="1" s="1"/>
  <c r="Q20" i="13"/>
  <c r="F24" i="1" s="1"/>
  <c r="Q25" i="13"/>
  <c r="F29" i="1" s="1"/>
  <c r="Q21" i="13"/>
  <c r="F25" i="1" s="1"/>
  <c r="Q17" i="13"/>
  <c r="F21" i="1" s="1"/>
  <c r="Q13" i="13"/>
  <c r="F17" i="1" s="1"/>
  <c r="Q9" i="13"/>
  <c r="F13" i="1" s="1"/>
  <c r="Q11" i="13"/>
  <c r="F15" i="1" s="1"/>
  <c r="Q15" i="13"/>
  <c r="F19" i="1" s="1"/>
  <c r="Q5" i="13"/>
  <c r="I4" i="27"/>
  <c r="J4" i="27"/>
  <c r="I5" i="27"/>
  <c r="M5" i="27" s="1"/>
  <c r="E5" i="4" s="1"/>
  <c r="G5" i="12"/>
  <c r="G6" i="12"/>
  <c r="G7" i="12"/>
  <c r="G8" i="12"/>
  <c r="D13" i="1" s="1"/>
  <c r="G9" i="12"/>
  <c r="D14" i="1" s="1"/>
  <c r="G10" i="12"/>
  <c r="D15" i="1" s="1"/>
  <c r="G11" i="12"/>
  <c r="D16" i="1" s="1"/>
  <c r="G12" i="12"/>
  <c r="D17" i="1" s="1"/>
  <c r="G13" i="12"/>
  <c r="D18" i="1" s="1"/>
  <c r="G14" i="12"/>
  <c r="D19" i="1" s="1"/>
  <c r="G15" i="12"/>
  <c r="D20" i="1" s="1"/>
  <c r="G16" i="12"/>
  <c r="D21" i="1" s="1"/>
  <c r="G17" i="12"/>
  <c r="D22" i="1" s="1"/>
  <c r="G18" i="12"/>
  <c r="D23" i="1" s="1"/>
  <c r="G19" i="12"/>
  <c r="D24" i="1" s="1"/>
  <c r="G20" i="12"/>
  <c r="D25" i="1" s="1"/>
  <c r="G21" i="12"/>
  <c r="D26" i="1" s="1"/>
  <c r="G22" i="12"/>
  <c r="D27" i="1" s="1"/>
  <c r="G23" i="12"/>
  <c r="D28" i="1" s="1"/>
  <c r="G24" i="12"/>
  <c r="D29" i="1" s="1"/>
  <c r="G25" i="12"/>
  <c r="D30" i="1" s="1"/>
  <c r="G26" i="12"/>
  <c r="D31" i="1" s="1"/>
  <c r="E31" i="1" s="1"/>
  <c r="G4" i="12"/>
  <c r="J5" i="25" l="1"/>
  <c r="I4" i="26"/>
  <c r="M4" i="26" s="1"/>
  <c r="D4" i="4" s="1"/>
  <c r="M4" i="27"/>
  <c r="E4" i="4" s="1"/>
  <c r="F58" i="5"/>
  <c r="H4" i="5" s="1"/>
  <c r="F80" i="5"/>
  <c r="H26" i="5" s="1"/>
  <c r="F79" i="5"/>
  <c r="H25" i="5" s="1"/>
  <c r="F78" i="5"/>
  <c r="H24" i="5" s="1"/>
  <c r="F77" i="5"/>
  <c r="H23" i="5" s="1"/>
  <c r="F76" i="5"/>
  <c r="H22" i="5" s="1"/>
  <c r="F75" i="5"/>
  <c r="H21" i="5" s="1"/>
  <c r="F74" i="5"/>
  <c r="H20" i="5" s="1"/>
  <c r="F73" i="5"/>
  <c r="H19" i="5" s="1"/>
  <c r="F72" i="5"/>
  <c r="H18" i="5" s="1"/>
  <c r="F71" i="5"/>
  <c r="H17" i="5" s="1"/>
  <c r="F70" i="5"/>
  <c r="H16" i="5" s="1"/>
  <c r="F69" i="5"/>
  <c r="H15" i="5" s="1"/>
  <c r="F68" i="5"/>
  <c r="H14" i="5" s="1"/>
  <c r="F67" i="5"/>
  <c r="H13" i="5" s="1"/>
  <c r="F66" i="5"/>
  <c r="H12" i="5" s="1"/>
  <c r="F65" i="5"/>
  <c r="H11" i="5" s="1"/>
  <c r="F64" i="5"/>
  <c r="H10" i="5" s="1"/>
  <c r="F63" i="5"/>
  <c r="H9" i="5" s="1"/>
  <c r="F62" i="5"/>
  <c r="H8" i="5" s="1"/>
  <c r="F61" i="5"/>
  <c r="H7" i="5" s="1"/>
  <c r="F60" i="5"/>
  <c r="H6" i="5" s="1"/>
  <c r="F59" i="5"/>
  <c r="H5" i="5" s="1"/>
  <c r="I5" i="5" l="1"/>
  <c r="M5" i="5" s="1"/>
  <c r="B5" i="4" s="1"/>
  <c r="I9" i="5"/>
  <c r="M9" i="5" s="1"/>
  <c r="B9" i="4" s="1"/>
  <c r="I13" i="5"/>
  <c r="M13" i="5" s="1"/>
  <c r="B13" i="4" s="1"/>
  <c r="I17" i="5"/>
  <c r="M17" i="5" s="1"/>
  <c r="B17" i="4" s="1"/>
  <c r="I21" i="5"/>
  <c r="M21" i="5" s="1"/>
  <c r="B21" i="4" s="1"/>
  <c r="I25" i="5"/>
  <c r="M25" i="5" s="1"/>
  <c r="B25" i="4" s="1"/>
  <c r="I6" i="5"/>
  <c r="M6" i="5" s="1"/>
  <c r="B6" i="4" s="1"/>
  <c r="I10" i="5"/>
  <c r="M10" i="5" s="1"/>
  <c r="B10" i="4" s="1"/>
  <c r="I14" i="5"/>
  <c r="M14" i="5" s="1"/>
  <c r="B14" i="4" s="1"/>
  <c r="I18" i="5"/>
  <c r="M18" i="5" s="1"/>
  <c r="B18" i="4" s="1"/>
  <c r="I22" i="5"/>
  <c r="M22" i="5" s="1"/>
  <c r="B22" i="4" s="1"/>
  <c r="I26" i="5"/>
  <c r="M26" i="5" s="1"/>
  <c r="B26" i="4" s="1"/>
  <c r="I7" i="5"/>
  <c r="M7" i="5" s="1"/>
  <c r="B7" i="4" s="1"/>
  <c r="I11" i="5"/>
  <c r="M11" i="5" s="1"/>
  <c r="B11" i="4" s="1"/>
  <c r="I15" i="5"/>
  <c r="M15" i="5" s="1"/>
  <c r="B15" i="4" s="1"/>
  <c r="I19" i="5"/>
  <c r="M19" i="5" s="1"/>
  <c r="B19" i="4" s="1"/>
  <c r="I23" i="5"/>
  <c r="M23" i="5" s="1"/>
  <c r="B23" i="4" s="1"/>
  <c r="I4" i="5"/>
  <c r="M4" i="5" s="1"/>
  <c r="B4" i="4" s="1"/>
  <c r="I8" i="5"/>
  <c r="M8" i="5" s="1"/>
  <c r="B8" i="4" s="1"/>
  <c r="I12" i="5"/>
  <c r="M12" i="5" s="1"/>
  <c r="B12" i="4" s="1"/>
  <c r="I16" i="5"/>
  <c r="M16" i="5" s="1"/>
  <c r="B16" i="4" s="1"/>
  <c r="I20" i="5"/>
  <c r="M20" i="5" s="1"/>
  <c r="B20" i="4" s="1"/>
  <c r="I24" i="5"/>
  <c r="M24" i="5" s="1"/>
  <c r="B24" i="4" s="1"/>
  <c r="N10" i="1"/>
  <c r="N12" i="1"/>
  <c r="N9" i="1"/>
  <c r="N11" i="1"/>
  <c r="F11" i="1" l="1"/>
  <c r="F12" i="1"/>
  <c r="D24" i="14"/>
  <c r="J28" i="1" s="1"/>
  <c r="G24" i="14"/>
  <c r="K28" i="1" s="1"/>
  <c r="L28" i="1"/>
  <c r="D25" i="14"/>
  <c r="J29" i="1" s="1"/>
  <c r="G25" i="14"/>
  <c r="K29" i="1" s="1"/>
  <c r="L29" i="1"/>
  <c r="D26" i="14"/>
  <c r="J30" i="1" s="1"/>
  <c r="G26" i="14"/>
  <c r="K30" i="1" s="1"/>
  <c r="L30" i="1"/>
  <c r="M31" i="1" l="1"/>
  <c r="J26" i="5"/>
  <c r="J25" i="5"/>
  <c r="J24" i="5"/>
  <c r="M29" i="1"/>
  <c r="M30" i="1"/>
  <c r="M28" i="1"/>
  <c r="E29" i="1"/>
  <c r="E3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F10" i="1" l="1"/>
  <c r="G10" i="1" s="1"/>
  <c r="F9" i="1"/>
  <c r="D10" i="1" l="1"/>
  <c r="E10" i="1" s="1"/>
  <c r="D11" i="1"/>
  <c r="E11" i="1" s="1"/>
  <c r="D12" i="1"/>
  <c r="E12" i="1" s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D9" i="1"/>
  <c r="G5" i="14" l="1"/>
  <c r="K9" i="1" l="1"/>
  <c r="G40" i="14" l="1"/>
  <c r="H40" i="14"/>
  <c r="F40" i="14"/>
  <c r="D40" i="14"/>
  <c r="E40" i="14"/>
  <c r="H41" i="14" l="1"/>
  <c r="G41" i="14"/>
  <c r="F41" i="14"/>
  <c r="E41" i="14"/>
  <c r="D41" i="14"/>
  <c r="D34" i="14"/>
  <c r="D33" i="14"/>
  <c r="D32" i="14"/>
  <c r="E33" i="14" l="1"/>
  <c r="E32" i="14"/>
  <c r="E34" i="14"/>
  <c r="H39" i="14"/>
  <c r="G39" i="14"/>
  <c r="F39" i="14"/>
  <c r="D39" i="14"/>
  <c r="E39" i="14"/>
  <c r="F33" i="14" l="1"/>
  <c r="G33" i="14" s="1"/>
  <c r="F32" i="14"/>
  <c r="G32" i="14" s="1"/>
  <c r="F34" i="14"/>
  <c r="H32" i="14" l="1"/>
  <c r="H33" i="14"/>
  <c r="G34" i="14"/>
  <c r="H34" i="14" s="1"/>
  <c r="D23" i="14" l="1"/>
  <c r="J27" i="1" s="1"/>
  <c r="L27" i="1"/>
  <c r="G23" i="14"/>
  <c r="K27" i="1" s="1"/>
  <c r="A1" i="17"/>
  <c r="B1" i="17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U1" i="17"/>
  <c r="V1" i="17"/>
  <c r="W1" i="17"/>
  <c r="X1" i="17"/>
  <c r="Y1" i="17"/>
  <c r="Z1" i="17"/>
  <c r="AA1" i="17"/>
  <c r="AB1" i="17"/>
  <c r="AC1" i="17"/>
  <c r="AD1" i="17"/>
  <c r="AE1" i="17"/>
  <c r="AF1" i="17"/>
  <c r="AG1" i="17"/>
  <c r="AH1" i="17"/>
  <c r="AI1" i="17"/>
  <c r="AJ1" i="17"/>
  <c r="AK1" i="17"/>
  <c r="AL1" i="17"/>
  <c r="AM1" i="17"/>
  <c r="AN1" i="17"/>
  <c r="AO1" i="17"/>
  <c r="AP1" i="17"/>
  <c r="AQ1" i="17"/>
  <c r="AR1" i="17"/>
  <c r="AS1" i="17"/>
  <c r="AT1" i="17"/>
  <c r="AU1" i="17"/>
  <c r="AV1" i="17"/>
  <c r="AW1" i="17"/>
  <c r="AX1" i="17"/>
  <c r="AY1" i="17"/>
  <c r="AZ1" i="17"/>
  <c r="BA1" i="17"/>
  <c r="BB1" i="17"/>
  <c r="BC1" i="17"/>
  <c r="BD1" i="17"/>
  <c r="BE1" i="17"/>
  <c r="BF1" i="17"/>
  <c r="BG1" i="17"/>
  <c r="BH1" i="17"/>
  <c r="BI1" i="17"/>
  <c r="BJ1" i="17"/>
  <c r="BK1" i="17"/>
  <c r="BL1" i="17"/>
  <c r="BM1" i="17"/>
  <c r="BN1" i="17"/>
  <c r="BO1" i="17"/>
  <c r="BP1" i="17"/>
  <c r="BQ1" i="17"/>
  <c r="BR1" i="17"/>
  <c r="BS1" i="17"/>
  <c r="BT1" i="17"/>
  <c r="BU1" i="17"/>
  <c r="BV1" i="17"/>
  <c r="BW1" i="17"/>
  <c r="BX1" i="17"/>
  <c r="BY1" i="17"/>
  <c r="BZ1" i="17"/>
  <c r="CA1" i="17"/>
  <c r="CB1" i="17"/>
  <c r="CC1" i="17"/>
  <c r="CD1" i="17"/>
  <c r="CE1" i="17"/>
  <c r="CF1" i="17"/>
  <c r="CG1" i="17"/>
  <c r="CH1" i="17"/>
  <c r="CI1" i="17"/>
  <c r="CJ1" i="17"/>
  <c r="CK1" i="17"/>
  <c r="CL1" i="17"/>
  <c r="CM1" i="17"/>
  <c r="CN1" i="17"/>
  <c r="CO1" i="17"/>
  <c r="CP1" i="17"/>
  <c r="CQ1" i="17"/>
  <c r="CR1" i="17"/>
  <c r="CS1" i="17"/>
  <c r="CT1" i="17"/>
  <c r="CU1" i="17"/>
  <c r="CV1" i="17"/>
  <c r="CW1" i="17"/>
  <c r="CX1" i="17"/>
  <c r="CY1" i="17"/>
  <c r="CZ1" i="17"/>
  <c r="DA1" i="17"/>
  <c r="DB1" i="17"/>
  <c r="DC1" i="17"/>
  <c r="DD1" i="17"/>
  <c r="DE1" i="17"/>
  <c r="DF1" i="17"/>
  <c r="DG1" i="17"/>
  <c r="DH1" i="17"/>
  <c r="DI1" i="17"/>
  <c r="DJ1" i="17"/>
  <c r="DK1" i="17"/>
  <c r="DL1" i="17"/>
  <c r="DM1" i="17"/>
  <c r="DN1" i="17"/>
  <c r="DO1" i="17"/>
  <c r="DP1" i="17"/>
  <c r="DQ1" i="17"/>
  <c r="DR1" i="17"/>
  <c r="DS1" i="17"/>
  <c r="DT1" i="17"/>
  <c r="DU1" i="17"/>
  <c r="DV1" i="17"/>
  <c r="DW1" i="17"/>
  <c r="DX1" i="17"/>
  <c r="DY1" i="17"/>
  <c r="DZ1" i="17"/>
  <c r="EA1" i="17"/>
  <c r="EB1" i="17"/>
  <c r="EC1" i="17"/>
  <c r="ED1" i="17"/>
  <c r="EE1" i="17"/>
  <c r="EF1" i="17"/>
  <c r="EG1" i="17"/>
  <c r="EH1" i="17"/>
  <c r="EI1" i="17"/>
  <c r="EJ1" i="17"/>
  <c r="EK1" i="17"/>
  <c r="EL1" i="17"/>
  <c r="EM1" i="17"/>
  <c r="EN1" i="17"/>
  <c r="EO1" i="17"/>
  <c r="EP1" i="17"/>
  <c r="EQ1" i="17"/>
  <c r="ER1" i="17"/>
  <c r="ES1" i="17"/>
  <c r="ET1" i="17"/>
  <c r="EU1" i="17"/>
  <c r="EV1" i="17"/>
  <c r="EW1" i="17"/>
  <c r="EX1" i="17"/>
  <c r="EY1" i="17"/>
  <c r="EZ1" i="17"/>
  <c r="FA1" i="17"/>
  <c r="FB1" i="17"/>
  <c r="FC1" i="17"/>
  <c r="FD1" i="17"/>
  <c r="FE1" i="17"/>
  <c r="FF1" i="17"/>
  <c r="FG1" i="17"/>
  <c r="FH1" i="17"/>
  <c r="FI1" i="17"/>
  <c r="FJ1" i="17"/>
  <c r="FK1" i="17"/>
  <c r="FL1" i="17"/>
  <c r="FM1" i="17"/>
  <c r="FN1" i="17"/>
  <c r="FO1" i="17"/>
  <c r="FP1" i="17"/>
  <c r="FQ1" i="17"/>
  <c r="FR1" i="17"/>
  <c r="FS1" i="17"/>
  <c r="FT1" i="17"/>
  <c r="FU1" i="17"/>
  <c r="FV1" i="17"/>
  <c r="FW1" i="17"/>
  <c r="FX1" i="17"/>
  <c r="FY1" i="17"/>
  <c r="FZ1" i="17"/>
  <c r="GA1" i="17"/>
  <c r="GB1" i="17"/>
  <c r="GC1" i="17"/>
  <c r="GD1" i="17"/>
  <c r="GE1" i="17"/>
  <c r="GF1" i="17"/>
  <c r="GG1" i="17"/>
  <c r="GH1" i="17"/>
  <c r="GI1" i="17"/>
  <c r="GJ1" i="17"/>
  <c r="GK1" i="17"/>
  <c r="GL1" i="17"/>
  <c r="GM1" i="17"/>
  <c r="GN1" i="17"/>
  <c r="GO1" i="17"/>
  <c r="GP1" i="17"/>
  <c r="GQ1" i="17"/>
  <c r="GR1" i="17"/>
  <c r="GS1" i="17"/>
  <c r="GT1" i="17"/>
  <c r="GU1" i="17"/>
  <c r="GV1" i="17"/>
  <c r="GW1" i="17"/>
  <c r="GX1" i="17"/>
  <c r="GY1" i="17"/>
  <c r="GZ1" i="17"/>
  <c r="HA1" i="17"/>
  <c r="HB1" i="17"/>
  <c r="HC1" i="17"/>
  <c r="HD1" i="17"/>
  <c r="HE1" i="17"/>
  <c r="HF1" i="17"/>
  <c r="HG1" i="17"/>
  <c r="HH1" i="17"/>
  <c r="HI1" i="17"/>
  <c r="HJ1" i="17"/>
  <c r="HK1" i="17"/>
  <c r="HL1" i="17"/>
  <c r="HM1" i="17"/>
  <c r="HN1" i="17"/>
  <c r="HO1" i="17"/>
  <c r="HP1" i="17"/>
  <c r="HQ1" i="17"/>
  <c r="HR1" i="17"/>
  <c r="HS1" i="17"/>
  <c r="HT1" i="17"/>
  <c r="HU1" i="17"/>
  <c r="HV1" i="17"/>
  <c r="HW1" i="17"/>
  <c r="HX1" i="17"/>
  <c r="HY1" i="17"/>
  <c r="HZ1" i="17"/>
  <c r="IA1" i="17"/>
  <c r="IB1" i="17"/>
  <c r="IC1" i="17"/>
  <c r="ID1" i="17"/>
  <c r="IE1" i="17"/>
  <c r="IF1" i="17"/>
  <c r="IG1" i="17"/>
  <c r="IH1" i="17"/>
  <c r="II1" i="17"/>
  <c r="IJ1" i="17"/>
  <c r="IK1" i="17"/>
  <c r="IL1" i="17"/>
  <c r="IM1" i="17"/>
  <c r="IN1" i="17"/>
  <c r="IO1" i="17"/>
  <c r="IP1" i="17"/>
  <c r="IQ1" i="17"/>
  <c r="IR1" i="17"/>
  <c r="IS1" i="17"/>
  <c r="IT1" i="17"/>
  <c r="IU1" i="17"/>
  <c r="IV1" i="17"/>
  <c r="A2" i="17"/>
  <c r="B2" i="17"/>
  <c r="C2" i="17"/>
  <c r="D2" i="17"/>
  <c r="E2" i="17"/>
  <c r="F2" i="17"/>
  <c r="G2" i="17"/>
  <c r="H2" i="17"/>
  <c r="I2" i="17"/>
  <c r="J2" i="17"/>
  <c r="L2" i="17"/>
  <c r="M2" i="17"/>
  <c r="N2" i="17"/>
  <c r="O2" i="17"/>
  <c r="P2" i="17"/>
  <c r="Q2" i="17"/>
  <c r="R2" i="17"/>
  <c r="S2" i="17"/>
  <c r="T2" i="17"/>
  <c r="U2" i="17"/>
  <c r="V2" i="17"/>
  <c r="W2" i="17"/>
  <c r="X2" i="17"/>
  <c r="Y2" i="17"/>
  <c r="Z2" i="17"/>
  <c r="AA2" i="17"/>
  <c r="AB2" i="17"/>
  <c r="AC2" i="17"/>
  <c r="AD2" i="17"/>
  <c r="AE2" i="17"/>
  <c r="AF2" i="17"/>
  <c r="AG2" i="17"/>
  <c r="AH2" i="17"/>
  <c r="AI2" i="17"/>
  <c r="AJ2" i="17"/>
  <c r="AK2" i="17"/>
  <c r="AL2" i="17"/>
  <c r="AM2" i="17"/>
  <c r="AN2" i="17"/>
  <c r="AO2" i="17"/>
  <c r="AP2" i="17"/>
  <c r="AQ2" i="17"/>
  <c r="AR2" i="17"/>
  <c r="AS2" i="17"/>
  <c r="AT2" i="17"/>
  <c r="AU2" i="17"/>
  <c r="AV2" i="17"/>
  <c r="AW2" i="17"/>
  <c r="AX2" i="17"/>
  <c r="AY2" i="17"/>
  <c r="AZ2" i="17"/>
  <c r="BA2" i="17"/>
  <c r="BB2" i="17"/>
  <c r="BC2" i="17"/>
  <c r="BD2" i="17"/>
  <c r="BE2" i="17"/>
  <c r="BF2" i="17"/>
  <c r="BG2" i="17"/>
  <c r="BH2" i="17"/>
  <c r="BI2" i="17"/>
  <c r="BJ2" i="17"/>
  <c r="BK2" i="17"/>
  <c r="BL2" i="17"/>
  <c r="BM2" i="17"/>
  <c r="BN2" i="17"/>
  <c r="BO2" i="17"/>
  <c r="BP2" i="17"/>
  <c r="BQ2" i="17"/>
  <c r="BR2" i="17"/>
  <c r="BS2" i="17"/>
  <c r="BT2" i="17"/>
  <c r="BU2" i="17"/>
  <c r="BV2" i="17"/>
  <c r="BW2" i="17"/>
  <c r="BX2" i="17"/>
  <c r="BY2" i="17"/>
  <c r="BZ2" i="17"/>
  <c r="CA2" i="17"/>
  <c r="CB2" i="17"/>
  <c r="CC2" i="17"/>
  <c r="CD2" i="17"/>
  <c r="CE2" i="17"/>
  <c r="CF2" i="17"/>
  <c r="CG2" i="17"/>
  <c r="CH2" i="17"/>
  <c r="CI2" i="17"/>
  <c r="CJ2" i="17"/>
  <c r="CK2" i="17"/>
  <c r="CL2" i="17"/>
  <c r="CM2" i="17"/>
  <c r="CN2" i="17"/>
  <c r="CO2" i="17"/>
  <c r="CP2" i="17"/>
  <c r="CQ2" i="17"/>
  <c r="CR2" i="17"/>
  <c r="CS2" i="17"/>
  <c r="CT2" i="17"/>
  <c r="CU2" i="17"/>
  <c r="CV2" i="17"/>
  <c r="CW2" i="17"/>
  <c r="CX2" i="17"/>
  <c r="CY2" i="17"/>
  <c r="CZ2" i="17"/>
  <c r="DA2" i="17"/>
  <c r="DB2" i="17"/>
  <c r="DC2" i="17"/>
  <c r="DD2" i="17"/>
  <c r="DE2" i="17"/>
  <c r="DF2" i="17"/>
  <c r="DG2" i="17"/>
  <c r="DH2" i="17"/>
  <c r="DI2" i="17"/>
  <c r="DJ2" i="17"/>
  <c r="DK2" i="17"/>
  <c r="DL2" i="17"/>
  <c r="DM2" i="17"/>
  <c r="DN2" i="17"/>
  <c r="DO2" i="17"/>
  <c r="DP2" i="17"/>
  <c r="DQ2" i="17"/>
  <c r="DR2" i="17"/>
  <c r="DS2" i="17"/>
  <c r="DT2" i="17"/>
  <c r="DU2" i="17"/>
  <c r="DV2" i="17"/>
  <c r="DW2" i="17"/>
  <c r="DX2" i="17"/>
  <c r="DY2" i="17"/>
  <c r="DZ2" i="17"/>
  <c r="EA2" i="17"/>
  <c r="EB2" i="17"/>
  <c r="EC2" i="17"/>
  <c r="ED2" i="17"/>
  <c r="EE2" i="17"/>
  <c r="EF2" i="17"/>
  <c r="EG2" i="17"/>
  <c r="EH2" i="17"/>
  <c r="EI2" i="17"/>
  <c r="EJ2" i="17"/>
  <c r="EK2" i="17"/>
  <c r="EL2" i="17"/>
  <c r="EM2" i="17"/>
  <c r="EN2" i="17"/>
  <c r="EO2" i="17"/>
  <c r="EP2" i="17"/>
  <c r="EQ2" i="17"/>
  <c r="ER2" i="17"/>
  <c r="ES2" i="17"/>
  <c r="ET2" i="17"/>
  <c r="EU2" i="17"/>
  <c r="EV2" i="17"/>
  <c r="EW2" i="17"/>
  <c r="EX2" i="17"/>
  <c r="EY2" i="17"/>
  <c r="EZ2" i="17"/>
  <c r="FA2" i="17"/>
  <c r="FB2" i="17"/>
  <c r="FC2" i="17"/>
  <c r="FD2" i="17"/>
  <c r="FE2" i="17"/>
  <c r="FF2" i="17"/>
  <c r="FG2" i="17"/>
  <c r="FH2" i="17"/>
  <c r="FI2" i="17"/>
  <c r="FJ2" i="17"/>
  <c r="FK2" i="17"/>
  <c r="FL2" i="17"/>
  <c r="FM2" i="17"/>
  <c r="FN2" i="17"/>
  <c r="FO2" i="17"/>
  <c r="FP2" i="17"/>
  <c r="FQ2" i="17"/>
  <c r="FR2" i="17"/>
  <c r="FS2" i="17"/>
  <c r="FT2" i="17"/>
  <c r="FU2" i="17"/>
  <c r="FV2" i="17"/>
  <c r="FW2" i="17"/>
  <c r="FX2" i="17"/>
  <c r="FY2" i="17"/>
  <c r="FZ2" i="17"/>
  <c r="GA2" i="17"/>
  <c r="GB2" i="17"/>
  <c r="GC2" i="17"/>
  <c r="GD2" i="17"/>
  <c r="GE2" i="17"/>
  <c r="GF2" i="17"/>
  <c r="GG2" i="17"/>
  <c r="GH2" i="17"/>
  <c r="GI2" i="17"/>
  <c r="GJ2" i="17"/>
  <c r="GK2" i="17"/>
  <c r="GL2" i="17"/>
  <c r="GM2" i="17"/>
  <c r="GN2" i="17"/>
  <c r="GO2" i="17"/>
  <c r="GP2" i="17"/>
  <c r="GQ2" i="17"/>
  <c r="GR2" i="17"/>
  <c r="GS2" i="17"/>
  <c r="GT2" i="17"/>
  <c r="GU2" i="17"/>
  <c r="GV2" i="17"/>
  <c r="GW2" i="17"/>
  <c r="GX2" i="17"/>
  <c r="GY2" i="17"/>
  <c r="GZ2" i="17"/>
  <c r="HA2" i="17"/>
  <c r="HB2" i="17"/>
  <c r="HC2" i="17"/>
  <c r="HD2" i="17"/>
  <c r="HE2" i="17"/>
  <c r="HF2" i="17"/>
  <c r="HG2" i="17"/>
  <c r="HH2" i="17"/>
  <c r="HI2" i="17"/>
  <c r="HJ2" i="17"/>
  <c r="HK2" i="17"/>
  <c r="HL2" i="17"/>
  <c r="HM2" i="17"/>
  <c r="HN2" i="17"/>
  <c r="HO2" i="17"/>
  <c r="HP2" i="17"/>
  <c r="HQ2" i="17"/>
  <c r="HR2" i="17"/>
  <c r="HS2" i="17"/>
  <c r="HT2" i="17"/>
  <c r="HU2" i="17"/>
  <c r="HV2" i="17"/>
  <c r="HW2" i="17"/>
  <c r="HX2" i="17"/>
  <c r="HY2" i="17"/>
  <c r="HZ2" i="17"/>
  <c r="IA2" i="17"/>
  <c r="IB2" i="17"/>
  <c r="IC2" i="17"/>
  <c r="ID2" i="17"/>
  <c r="IE2" i="17"/>
  <c r="IF2" i="17"/>
  <c r="IG2" i="17"/>
  <c r="IH2" i="17"/>
  <c r="II2" i="17"/>
  <c r="IJ2" i="17"/>
  <c r="IK2" i="17"/>
  <c r="IL2" i="17"/>
  <c r="IM2" i="17"/>
  <c r="IN2" i="17"/>
  <c r="IO2" i="17"/>
  <c r="IP2" i="17"/>
  <c r="IQ2" i="17"/>
  <c r="IR2" i="17"/>
  <c r="IS2" i="17"/>
  <c r="IT2" i="17"/>
  <c r="IU2" i="17"/>
  <c r="IV2" i="17"/>
  <c r="A3" i="17"/>
  <c r="B3" i="17"/>
  <c r="C3" i="17"/>
  <c r="D3" i="17"/>
  <c r="E3" i="17"/>
  <c r="F3" i="17"/>
  <c r="G3" i="17"/>
  <c r="H3" i="17"/>
  <c r="I3" i="17"/>
  <c r="J3" i="17"/>
  <c r="K3" i="17"/>
  <c r="L3" i="17"/>
  <c r="M3" i="17"/>
  <c r="N3" i="17"/>
  <c r="O3" i="17"/>
  <c r="P3" i="17"/>
  <c r="Q3" i="17"/>
  <c r="R3" i="17"/>
  <c r="S3" i="17"/>
  <c r="T3" i="17"/>
  <c r="U3" i="17"/>
  <c r="V3" i="17"/>
  <c r="W3" i="17"/>
  <c r="X3" i="17"/>
  <c r="Y3" i="17"/>
  <c r="Z3" i="17"/>
  <c r="AA3" i="17"/>
  <c r="AB3" i="17"/>
  <c r="AC3" i="17"/>
  <c r="AD3" i="17"/>
  <c r="AE3" i="17"/>
  <c r="AF3" i="17"/>
  <c r="AG3" i="17"/>
  <c r="AH3" i="17"/>
  <c r="AI3" i="17"/>
  <c r="AJ3" i="17"/>
  <c r="AK3" i="17"/>
  <c r="AL3" i="17"/>
  <c r="AM3" i="17"/>
  <c r="AN3" i="17"/>
  <c r="AO3" i="17"/>
  <c r="AP3" i="17"/>
  <c r="AQ3" i="17"/>
  <c r="AR3" i="17"/>
  <c r="AS3" i="17"/>
  <c r="AT3" i="17"/>
  <c r="AU3" i="17"/>
  <c r="AV3" i="17"/>
  <c r="AW3" i="17"/>
  <c r="AX3" i="17"/>
  <c r="AY3" i="17"/>
  <c r="AZ3" i="17"/>
  <c r="BA3" i="17"/>
  <c r="BB3" i="17"/>
  <c r="BC3" i="17"/>
  <c r="BD3" i="17"/>
  <c r="BE3" i="17"/>
  <c r="BF3" i="17"/>
  <c r="BG3" i="17"/>
  <c r="BH3" i="17"/>
  <c r="BI3" i="17"/>
  <c r="BJ3" i="17"/>
  <c r="BK3" i="17"/>
  <c r="BL3" i="17"/>
  <c r="BM3" i="17"/>
  <c r="BN3" i="17"/>
  <c r="BO3" i="17"/>
  <c r="BP3" i="17"/>
  <c r="BQ3" i="17"/>
  <c r="BR3" i="17"/>
  <c r="BS3" i="17"/>
  <c r="BT3" i="17"/>
  <c r="BU3" i="17"/>
  <c r="BV3" i="17"/>
  <c r="BW3" i="17"/>
  <c r="BX3" i="17"/>
  <c r="BY3" i="17"/>
  <c r="BZ3" i="17"/>
  <c r="CA3" i="17"/>
  <c r="CB3" i="17"/>
  <c r="CC3" i="17"/>
  <c r="CD3" i="17"/>
  <c r="CE3" i="17"/>
  <c r="CF3" i="17"/>
  <c r="CG3" i="17"/>
  <c r="CH3" i="17"/>
  <c r="CI3" i="17"/>
  <c r="CJ3" i="17"/>
  <c r="CK3" i="17"/>
  <c r="CL3" i="17"/>
  <c r="CM3" i="17"/>
  <c r="CN3" i="17"/>
  <c r="CO3" i="17"/>
  <c r="CP3" i="17"/>
  <c r="CQ3" i="17"/>
  <c r="CR3" i="17"/>
  <c r="CS3" i="17"/>
  <c r="CT3" i="17"/>
  <c r="CU3" i="17"/>
  <c r="CV3" i="17"/>
  <c r="CW3" i="17"/>
  <c r="CX3" i="17"/>
  <c r="CY3" i="17"/>
  <c r="CZ3" i="17"/>
  <c r="DA3" i="17"/>
  <c r="DB3" i="17"/>
  <c r="DC3" i="17"/>
  <c r="DD3" i="17"/>
  <c r="DE3" i="17"/>
  <c r="DF3" i="17"/>
  <c r="DG3" i="17"/>
  <c r="DH3" i="17"/>
  <c r="DI3" i="17"/>
  <c r="DJ3" i="17"/>
  <c r="DK3" i="17"/>
  <c r="DL3" i="17"/>
  <c r="DM3" i="17"/>
  <c r="DN3" i="17"/>
  <c r="DO3" i="17"/>
  <c r="DP3" i="17"/>
  <c r="DQ3" i="17"/>
  <c r="DR3" i="17"/>
  <c r="DS3" i="17"/>
  <c r="DT3" i="17"/>
  <c r="DU3" i="17"/>
  <c r="DV3" i="17"/>
  <c r="DW3" i="17"/>
  <c r="DX3" i="17"/>
  <c r="DY3" i="17"/>
  <c r="DZ3" i="17"/>
  <c r="EA3" i="17"/>
  <c r="EB3" i="17"/>
  <c r="EC3" i="17"/>
  <c r="ED3" i="17"/>
  <c r="EE3" i="17"/>
  <c r="EF3" i="17"/>
  <c r="EG3" i="17"/>
  <c r="EH3" i="17"/>
  <c r="EI3" i="17"/>
  <c r="EJ3" i="17"/>
  <c r="EK3" i="17"/>
  <c r="EL3" i="17"/>
  <c r="EM3" i="17"/>
  <c r="EN3" i="17"/>
  <c r="EO3" i="17"/>
  <c r="EP3" i="17"/>
  <c r="EQ3" i="17"/>
  <c r="ER3" i="17"/>
  <c r="ES3" i="17"/>
  <c r="ET3" i="17"/>
  <c r="EU3" i="17"/>
  <c r="EV3" i="17"/>
  <c r="EW3" i="17"/>
  <c r="EX3" i="17"/>
  <c r="EY3" i="17"/>
  <c r="EZ3" i="17"/>
  <c r="FA3" i="17"/>
  <c r="FB3" i="17"/>
  <c r="FC3" i="17"/>
  <c r="FD3" i="17"/>
  <c r="FE3" i="17"/>
  <c r="FF3" i="17"/>
  <c r="FG3" i="17"/>
  <c r="FH3" i="17"/>
  <c r="FI3" i="17"/>
  <c r="FJ3" i="17"/>
  <c r="FK3" i="17"/>
  <c r="FL3" i="17"/>
  <c r="FM3" i="17"/>
  <c r="FN3" i="17"/>
  <c r="FO3" i="17"/>
  <c r="FP3" i="17"/>
  <c r="FQ3" i="17"/>
  <c r="FR3" i="17"/>
  <c r="FS3" i="17"/>
  <c r="FT3" i="17"/>
  <c r="FU3" i="17"/>
  <c r="FV3" i="17"/>
  <c r="FW3" i="17"/>
  <c r="FX3" i="17"/>
  <c r="FY3" i="17"/>
  <c r="FZ3" i="17"/>
  <c r="GA3" i="17"/>
  <c r="GB3" i="17"/>
  <c r="GC3" i="17"/>
  <c r="GD3" i="17"/>
  <c r="GE3" i="17"/>
  <c r="GF3" i="17"/>
  <c r="GG3" i="17"/>
  <c r="GH3" i="17"/>
  <c r="GI3" i="17"/>
  <c r="GJ3" i="17"/>
  <c r="GK3" i="17"/>
  <c r="GL3" i="17"/>
  <c r="GM3" i="17"/>
  <c r="GN3" i="17"/>
  <c r="GO3" i="17"/>
  <c r="GP3" i="17"/>
  <c r="GQ3" i="17"/>
  <c r="GR3" i="17"/>
  <c r="GS3" i="17"/>
  <c r="GT3" i="17"/>
  <c r="GU3" i="17"/>
  <c r="GV3" i="17"/>
  <c r="GW3" i="17"/>
  <c r="GX3" i="17"/>
  <c r="GY3" i="17"/>
  <c r="GZ3" i="17"/>
  <c r="HA3" i="17"/>
  <c r="HB3" i="17"/>
  <c r="HC3" i="17"/>
  <c r="HD3" i="17"/>
  <c r="HE3" i="17"/>
  <c r="HF3" i="17"/>
  <c r="HG3" i="17"/>
  <c r="HH3" i="17"/>
  <c r="HI3" i="17"/>
  <c r="HJ3" i="17"/>
  <c r="HK3" i="17"/>
  <c r="HL3" i="17"/>
  <c r="HM3" i="17"/>
  <c r="HN3" i="17"/>
  <c r="HO3" i="17"/>
  <c r="HP3" i="17"/>
  <c r="HQ3" i="17"/>
  <c r="HR3" i="17"/>
  <c r="HS3" i="17"/>
  <c r="HT3" i="17"/>
  <c r="HU3" i="17"/>
  <c r="HV3" i="17"/>
  <c r="HW3" i="17"/>
  <c r="HX3" i="17"/>
  <c r="HY3" i="17"/>
  <c r="HZ3" i="17"/>
  <c r="IA3" i="17"/>
  <c r="IB3" i="17"/>
  <c r="IC3" i="17"/>
  <c r="ID3" i="17"/>
  <c r="IE3" i="17"/>
  <c r="IF3" i="17"/>
  <c r="IG3" i="17"/>
  <c r="IH3" i="17"/>
  <c r="II3" i="17"/>
  <c r="IJ3" i="17"/>
  <c r="IK3" i="17"/>
  <c r="IL3" i="17"/>
  <c r="IM3" i="17"/>
  <c r="IN3" i="17"/>
  <c r="IO3" i="17"/>
  <c r="IP3" i="17"/>
  <c r="IQ3" i="17"/>
  <c r="IR3" i="17"/>
  <c r="IS3" i="17"/>
  <c r="IT3" i="17"/>
  <c r="IU3" i="17"/>
  <c r="IV3" i="17"/>
  <c r="A4" i="17"/>
  <c r="B4" i="17"/>
  <c r="C4" i="17"/>
  <c r="D4" i="17"/>
  <c r="E4" i="17"/>
  <c r="F4" i="17"/>
  <c r="G4" i="17"/>
  <c r="H4" i="17"/>
  <c r="J4" i="17"/>
  <c r="K4" i="17"/>
  <c r="L4" i="17"/>
  <c r="M4" i="17"/>
  <c r="N4" i="17"/>
  <c r="O4" i="17"/>
  <c r="P4" i="17"/>
  <c r="Q4" i="17"/>
  <c r="R4" i="17"/>
  <c r="S4" i="17"/>
  <c r="T4" i="17"/>
  <c r="U4" i="17"/>
  <c r="V4" i="17"/>
  <c r="W4" i="17"/>
  <c r="X4" i="17"/>
  <c r="Y4" i="17"/>
  <c r="Z4" i="17"/>
  <c r="AA4" i="17"/>
  <c r="AB4" i="17"/>
  <c r="AC4" i="17"/>
  <c r="AD4" i="17"/>
  <c r="AE4" i="17"/>
  <c r="AF4" i="17"/>
  <c r="AG4" i="17"/>
  <c r="AH4" i="17"/>
  <c r="AI4" i="17"/>
  <c r="AJ4" i="17"/>
  <c r="AK4" i="17"/>
  <c r="AL4" i="17"/>
  <c r="AM4" i="17"/>
  <c r="AN4" i="17"/>
  <c r="AO4" i="17"/>
  <c r="AP4" i="17"/>
  <c r="AQ4" i="17"/>
  <c r="AR4" i="17"/>
  <c r="AS4" i="17"/>
  <c r="AT4" i="17"/>
  <c r="AU4" i="17"/>
  <c r="AV4" i="17"/>
  <c r="AW4" i="17"/>
  <c r="AX4" i="17"/>
  <c r="AY4" i="17"/>
  <c r="AZ4" i="17"/>
  <c r="BA4" i="17"/>
  <c r="BB4" i="17"/>
  <c r="BC4" i="17"/>
  <c r="BD4" i="17"/>
  <c r="BE4" i="17"/>
  <c r="BF4" i="17"/>
  <c r="BG4" i="17"/>
  <c r="BH4" i="17"/>
  <c r="BI4" i="17"/>
  <c r="BJ4" i="17"/>
  <c r="BK4" i="17"/>
  <c r="BL4" i="17"/>
  <c r="BM4" i="17"/>
  <c r="BN4" i="17"/>
  <c r="BO4" i="17"/>
  <c r="BP4" i="17"/>
  <c r="BQ4" i="17"/>
  <c r="BR4" i="17"/>
  <c r="BS4" i="17"/>
  <c r="BT4" i="17"/>
  <c r="BU4" i="17"/>
  <c r="BV4" i="17"/>
  <c r="BW4" i="17"/>
  <c r="BX4" i="17"/>
  <c r="BY4" i="17"/>
  <c r="BZ4" i="17"/>
  <c r="CA4" i="17"/>
  <c r="CB4" i="17"/>
  <c r="CC4" i="17"/>
  <c r="CD4" i="17"/>
  <c r="CE4" i="17"/>
  <c r="CF4" i="17"/>
  <c r="CG4" i="17"/>
  <c r="CH4" i="17"/>
  <c r="CI4" i="17"/>
  <c r="CJ4" i="17"/>
  <c r="CK4" i="17"/>
  <c r="CL4" i="17"/>
  <c r="CM4" i="17"/>
  <c r="CN4" i="17"/>
  <c r="CO4" i="17"/>
  <c r="CP4" i="17"/>
  <c r="CQ4" i="17"/>
  <c r="CR4" i="17"/>
  <c r="CS4" i="17"/>
  <c r="CT4" i="17"/>
  <c r="CU4" i="17"/>
  <c r="CV4" i="17"/>
  <c r="CW4" i="17"/>
  <c r="CX4" i="17"/>
  <c r="CY4" i="17"/>
  <c r="CZ4" i="17"/>
  <c r="DA4" i="17"/>
  <c r="DB4" i="17"/>
  <c r="DC4" i="17"/>
  <c r="DD4" i="17"/>
  <c r="DE4" i="17"/>
  <c r="DF4" i="17"/>
  <c r="DG4" i="17"/>
  <c r="DH4" i="17"/>
  <c r="DI4" i="17"/>
  <c r="DJ4" i="17"/>
  <c r="DK4" i="17"/>
  <c r="DL4" i="17"/>
  <c r="DM4" i="17"/>
  <c r="DN4" i="17"/>
  <c r="DO4" i="17"/>
  <c r="DP4" i="17"/>
  <c r="DQ4" i="17"/>
  <c r="DR4" i="17"/>
  <c r="DS4" i="17"/>
  <c r="DT4" i="17"/>
  <c r="DU4" i="17"/>
  <c r="DV4" i="17"/>
  <c r="DW4" i="17"/>
  <c r="DX4" i="17"/>
  <c r="DY4" i="17"/>
  <c r="DZ4" i="17"/>
  <c r="EA4" i="17"/>
  <c r="EB4" i="17"/>
  <c r="EC4" i="17"/>
  <c r="ED4" i="17"/>
  <c r="EE4" i="17"/>
  <c r="EF4" i="17"/>
  <c r="EG4" i="17"/>
  <c r="EH4" i="17"/>
  <c r="EI4" i="17"/>
  <c r="EJ4" i="17"/>
  <c r="EK4" i="17"/>
  <c r="EL4" i="17"/>
  <c r="EM4" i="17"/>
  <c r="EN4" i="17"/>
  <c r="EO4" i="17"/>
  <c r="EP4" i="17"/>
  <c r="EQ4" i="17"/>
  <c r="ER4" i="17"/>
  <c r="ES4" i="17"/>
  <c r="ET4" i="17"/>
  <c r="EU4" i="17"/>
  <c r="EV4" i="17"/>
  <c r="EW4" i="17"/>
  <c r="EX4" i="17"/>
  <c r="EY4" i="17"/>
  <c r="EZ4" i="17"/>
  <c r="FA4" i="17"/>
  <c r="FB4" i="17"/>
  <c r="FC4" i="17"/>
  <c r="FD4" i="17"/>
  <c r="FE4" i="17"/>
  <c r="FF4" i="17"/>
  <c r="FG4" i="17"/>
  <c r="FH4" i="17"/>
  <c r="FI4" i="17"/>
  <c r="FJ4" i="17"/>
  <c r="FK4" i="17"/>
  <c r="FL4" i="17"/>
  <c r="FM4" i="17"/>
  <c r="FN4" i="17"/>
  <c r="FO4" i="17"/>
  <c r="FP4" i="17"/>
  <c r="FQ4" i="17"/>
  <c r="FR4" i="17"/>
  <c r="FS4" i="17"/>
  <c r="FT4" i="17"/>
  <c r="FU4" i="17"/>
  <c r="FV4" i="17"/>
  <c r="FW4" i="17"/>
  <c r="FX4" i="17"/>
  <c r="FY4" i="17"/>
  <c r="FZ4" i="17"/>
  <c r="GA4" i="17"/>
  <c r="GB4" i="17"/>
  <c r="GC4" i="17"/>
  <c r="GD4" i="17"/>
  <c r="GE4" i="17"/>
  <c r="GF4" i="17"/>
  <c r="GG4" i="17"/>
  <c r="GH4" i="17"/>
  <c r="GI4" i="17"/>
  <c r="GJ4" i="17"/>
  <c r="GK4" i="17"/>
  <c r="GL4" i="17"/>
  <c r="GM4" i="17"/>
  <c r="GN4" i="17"/>
  <c r="GO4" i="17"/>
  <c r="GP4" i="17"/>
  <c r="GQ4" i="17"/>
  <c r="GR4" i="17"/>
  <c r="GS4" i="17"/>
  <c r="GT4" i="17"/>
  <c r="GU4" i="17"/>
  <c r="GV4" i="17"/>
  <c r="GW4" i="17"/>
  <c r="GX4" i="17"/>
  <c r="GY4" i="17"/>
  <c r="GZ4" i="17"/>
  <c r="HA4" i="17"/>
  <c r="HB4" i="17"/>
  <c r="HC4" i="17"/>
  <c r="HD4" i="17"/>
  <c r="HE4" i="17"/>
  <c r="HF4" i="17"/>
  <c r="HG4" i="17"/>
  <c r="HH4" i="17"/>
  <c r="HI4" i="17"/>
  <c r="HJ4" i="17"/>
  <c r="HK4" i="17"/>
  <c r="HL4" i="17"/>
  <c r="HM4" i="17"/>
  <c r="HN4" i="17"/>
  <c r="HO4" i="17"/>
  <c r="HP4" i="17"/>
  <c r="HQ4" i="17"/>
  <c r="HR4" i="17"/>
  <c r="HS4" i="17"/>
  <c r="HT4" i="17"/>
  <c r="HU4" i="17"/>
  <c r="HV4" i="17"/>
  <c r="HW4" i="17"/>
  <c r="HX4" i="17"/>
  <c r="HY4" i="17"/>
  <c r="HZ4" i="17"/>
  <c r="IA4" i="17"/>
  <c r="IB4" i="17"/>
  <c r="IC4" i="17"/>
  <c r="ID4" i="17"/>
  <c r="IE4" i="17"/>
  <c r="IF4" i="17"/>
  <c r="IG4" i="17"/>
  <c r="IH4" i="17"/>
  <c r="II4" i="17"/>
  <c r="IJ4" i="17"/>
  <c r="IK4" i="17"/>
  <c r="IL4" i="17"/>
  <c r="IM4" i="17"/>
  <c r="IN4" i="17"/>
  <c r="IO4" i="17"/>
  <c r="IP4" i="17"/>
  <c r="IQ4" i="17"/>
  <c r="IR4" i="17"/>
  <c r="IS4" i="17"/>
  <c r="IT4" i="17"/>
  <c r="IU4" i="17"/>
  <c r="IV4" i="17"/>
  <c r="A5" i="17"/>
  <c r="B5" i="17"/>
  <c r="C5" i="17"/>
  <c r="D5" i="17"/>
  <c r="E5" i="17"/>
  <c r="F5" i="17"/>
  <c r="G5" i="17"/>
  <c r="I5" i="17"/>
  <c r="J5" i="17"/>
  <c r="K5" i="17"/>
  <c r="L5" i="17"/>
  <c r="M5" i="17"/>
  <c r="N5" i="17"/>
  <c r="O5" i="17"/>
  <c r="P5" i="17"/>
  <c r="Q5" i="17"/>
  <c r="R5" i="17"/>
  <c r="S5" i="17"/>
  <c r="T5" i="17"/>
  <c r="U5" i="17"/>
  <c r="V5" i="17"/>
  <c r="W5" i="17"/>
  <c r="X5" i="17"/>
  <c r="Y5" i="17"/>
  <c r="Z5" i="17"/>
  <c r="AA5" i="17"/>
  <c r="AB5" i="17"/>
  <c r="AC5" i="17"/>
  <c r="AD5" i="17"/>
  <c r="AE5" i="17"/>
  <c r="AF5" i="17"/>
  <c r="AG5" i="17"/>
  <c r="AH5" i="17"/>
  <c r="AI5" i="17"/>
  <c r="AJ5" i="17"/>
  <c r="AK5" i="17"/>
  <c r="AL5" i="17"/>
  <c r="AM5" i="17"/>
  <c r="AN5" i="17"/>
  <c r="AO5" i="17"/>
  <c r="AP5" i="17"/>
  <c r="AQ5" i="17"/>
  <c r="AR5" i="17"/>
  <c r="AS5" i="17"/>
  <c r="AT5" i="17"/>
  <c r="AU5" i="17"/>
  <c r="AV5" i="17"/>
  <c r="AW5" i="17"/>
  <c r="AX5" i="17"/>
  <c r="AY5" i="17"/>
  <c r="AZ5" i="17"/>
  <c r="BA5" i="17"/>
  <c r="BB5" i="17"/>
  <c r="BC5" i="17"/>
  <c r="BD5" i="17"/>
  <c r="BE5" i="17"/>
  <c r="BF5" i="17"/>
  <c r="BG5" i="17"/>
  <c r="BH5" i="17"/>
  <c r="BI5" i="17"/>
  <c r="BJ5" i="17"/>
  <c r="BK5" i="17"/>
  <c r="BL5" i="17"/>
  <c r="BM5" i="17"/>
  <c r="BN5" i="17"/>
  <c r="BO5" i="17"/>
  <c r="BP5" i="17"/>
  <c r="BQ5" i="17"/>
  <c r="BR5" i="17"/>
  <c r="BS5" i="17"/>
  <c r="BT5" i="17"/>
  <c r="BU5" i="17"/>
  <c r="BV5" i="17"/>
  <c r="BW5" i="17"/>
  <c r="BX5" i="17"/>
  <c r="BY5" i="17"/>
  <c r="BZ5" i="17"/>
  <c r="CA5" i="17"/>
  <c r="CB5" i="17"/>
  <c r="CC5" i="17"/>
  <c r="CD5" i="17"/>
  <c r="CE5" i="17"/>
  <c r="CF5" i="17"/>
  <c r="CG5" i="17"/>
  <c r="CH5" i="17"/>
  <c r="CI5" i="17"/>
  <c r="CJ5" i="17"/>
  <c r="CK5" i="17"/>
  <c r="CL5" i="17"/>
  <c r="CM5" i="17"/>
  <c r="CN5" i="17"/>
  <c r="CO5" i="17"/>
  <c r="CP5" i="17"/>
  <c r="CQ5" i="17"/>
  <c r="CR5" i="17"/>
  <c r="CS5" i="17"/>
  <c r="CT5" i="17"/>
  <c r="CU5" i="17"/>
  <c r="CV5" i="17"/>
  <c r="CW5" i="17"/>
  <c r="CX5" i="17"/>
  <c r="CY5" i="17"/>
  <c r="CZ5" i="17"/>
  <c r="DA5" i="17"/>
  <c r="DB5" i="17"/>
  <c r="DC5" i="17"/>
  <c r="DD5" i="17"/>
  <c r="DE5" i="17"/>
  <c r="DF5" i="17"/>
  <c r="DG5" i="17"/>
  <c r="DH5" i="17"/>
  <c r="DI5" i="17"/>
  <c r="DJ5" i="17"/>
  <c r="DK5" i="17"/>
  <c r="DL5" i="17"/>
  <c r="DM5" i="17"/>
  <c r="DN5" i="17"/>
  <c r="DO5" i="17"/>
  <c r="DP5" i="17"/>
  <c r="DQ5" i="17"/>
  <c r="DR5" i="17"/>
  <c r="DS5" i="17"/>
  <c r="DT5" i="17"/>
  <c r="DU5" i="17"/>
  <c r="DV5" i="17"/>
  <c r="DW5" i="17"/>
  <c r="DX5" i="17"/>
  <c r="DY5" i="17"/>
  <c r="DZ5" i="17"/>
  <c r="EA5" i="17"/>
  <c r="EB5" i="17"/>
  <c r="EC5" i="17"/>
  <c r="ED5" i="17"/>
  <c r="EE5" i="17"/>
  <c r="EF5" i="17"/>
  <c r="EG5" i="17"/>
  <c r="EH5" i="17"/>
  <c r="EI5" i="17"/>
  <c r="EJ5" i="17"/>
  <c r="EK5" i="17"/>
  <c r="EL5" i="17"/>
  <c r="EM5" i="17"/>
  <c r="EN5" i="17"/>
  <c r="EO5" i="17"/>
  <c r="EP5" i="17"/>
  <c r="EQ5" i="17"/>
  <c r="ER5" i="17"/>
  <c r="ES5" i="17"/>
  <c r="ET5" i="17"/>
  <c r="EU5" i="17"/>
  <c r="EV5" i="17"/>
  <c r="EW5" i="17"/>
  <c r="EX5" i="17"/>
  <c r="EY5" i="17"/>
  <c r="EZ5" i="17"/>
  <c r="FA5" i="17"/>
  <c r="FB5" i="17"/>
  <c r="FC5" i="17"/>
  <c r="FD5" i="17"/>
  <c r="FE5" i="17"/>
  <c r="FF5" i="17"/>
  <c r="FG5" i="17"/>
  <c r="FH5" i="17"/>
  <c r="FI5" i="17"/>
  <c r="FJ5" i="17"/>
  <c r="FK5" i="17"/>
  <c r="FL5" i="17"/>
  <c r="FM5" i="17"/>
  <c r="FN5" i="17"/>
  <c r="FO5" i="17"/>
  <c r="FP5" i="17"/>
  <c r="FQ5" i="17"/>
  <c r="FR5" i="17"/>
  <c r="FS5" i="17"/>
  <c r="FT5" i="17"/>
  <c r="FU5" i="17"/>
  <c r="FV5" i="17"/>
  <c r="FW5" i="17"/>
  <c r="FX5" i="17"/>
  <c r="FY5" i="17"/>
  <c r="FZ5" i="17"/>
  <c r="GA5" i="17"/>
  <c r="GB5" i="17"/>
  <c r="GC5" i="17"/>
  <c r="GD5" i="17"/>
  <c r="GE5" i="17"/>
  <c r="GF5" i="17"/>
  <c r="GG5" i="17"/>
  <c r="GH5" i="17"/>
  <c r="GI5" i="17"/>
  <c r="GJ5" i="17"/>
  <c r="GK5" i="17"/>
  <c r="GL5" i="17"/>
  <c r="GM5" i="17"/>
  <c r="GN5" i="17"/>
  <c r="GO5" i="17"/>
  <c r="GP5" i="17"/>
  <c r="GQ5" i="17"/>
  <c r="GR5" i="17"/>
  <c r="GS5" i="17"/>
  <c r="GT5" i="17"/>
  <c r="GU5" i="17"/>
  <c r="GV5" i="17"/>
  <c r="GW5" i="17"/>
  <c r="GX5" i="17"/>
  <c r="GY5" i="17"/>
  <c r="GZ5" i="17"/>
  <c r="HA5" i="17"/>
  <c r="HB5" i="17"/>
  <c r="HC5" i="17"/>
  <c r="HD5" i="17"/>
  <c r="HE5" i="17"/>
  <c r="HF5" i="17"/>
  <c r="HG5" i="17"/>
  <c r="HH5" i="17"/>
  <c r="HI5" i="17"/>
  <c r="HJ5" i="17"/>
  <c r="HK5" i="17"/>
  <c r="HL5" i="17"/>
  <c r="HM5" i="17"/>
  <c r="HN5" i="17"/>
  <c r="HO5" i="17"/>
  <c r="HP5" i="17"/>
  <c r="HQ5" i="17"/>
  <c r="HR5" i="17"/>
  <c r="HS5" i="17"/>
  <c r="HT5" i="17"/>
  <c r="HU5" i="17"/>
  <c r="HV5" i="17"/>
  <c r="HW5" i="17"/>
  <c r="HX5" i="17"/>
  <c r="HY5" i="17"/>
  <c r="HZ5" i="17"/>
  <c r="IA5" i="17"/>
  <c r="IB5" i="17"/>
  <c r="IC5" i="17"/>
  <c r="ID5" i="17"/>
  <c r="IE5" i="17"/>
  <c r="IF5" i="17"/>
  <c r="IG5" i="17"/>
  <c r="IH5" i="17"/>
  <c r="II5" i="17"/>
  <c r="IJ5" i="17"/>
  <c r="IK5" i="17"/>
  <c r="IL5" i="17"/>
  <c r="IM5" i="17"/>
  <c r="IN5" i="17"/>
  <c r="IO5" i="17"/>
  <c r="IP5" i="17"/>
  <c r="IQ5" i="17"/>
  <c r="IR5" i="17"/>
  <c r="IS5" i="17"/>
  <c r="IT5" i="17"/>
  <c r="IU5" i="17"/>
  <c r="IV5" i="17"/>
  <c r="A6" i="17"/>
  <c r="B6" i="17"/>
  <c r="C6" i="17"/>
  <c r="D6" i="17"/>
  <c r="E6" i="17"/>
  <c r="F6" i="17"/>
  <c r="G6" i="17"/>
  <c r="H6" i="17"/>
  <c r="I6" i="17"/>
  <c r="J6" i="17"/>
  <c r="L6" i="17"/>
  <c r="M6" i="17"/>
  <c r="N6" i="17"/>
  <c r="O6" i="17"/>
  <c r="P6" i="17"/>
  <c r="Q6" i="17"/>
  <c r="R6" i="17"/>
  <c r="S6" i="17"/>
  <c r="T6" i="17"/>
  <c r="U6" i="17"/>
  <c r="V6" i="17"/>
  <c r="W6" i="17"/>
  <c r="X6" i="17"/>
  <c r="Y6" i="17"/>
  <c r="Z6" i="17"/>
  <c r="AA6" i="17"/>
  <c r="AB6" i="17"/>
  <c r="AC6" i="17"/>
  <c r="AD6" i="17"/>
  <c r="AE6" i="17"/>
  <c r="AF6" i="17"/>
  <c r="AG6" i="17"/>
  <c r="AH6" i="17"/>
  <c r="AI6" i="17"/>
  <c r="AJ6" i="17"/>
  <c r="AK6" i="17"/>
  <c r="AL6" i="17"/>
  <c r="AM6" i="17"/>
  <c r="AN6" i="17"/>
  <c r="AO6" i="17"/>
  <c r="AP6" i="17"/>
  <c r="AQ6" i="17"/>
  <c r="AR6" i="17"/>
  <c r="AS6" i="17"/>
  <c r="AT6" i="17"/>
  <c r="AU6" i="17"/>
  <c r="AV6" i="17"/>
  <c r="AW6" i="17"/>
  <c r="AX6" i="17"/>
  <c r="AY6" i="17"/>
  <c r="AZ6" i="17"/>
  <c r="BA6" i="17"/>
  <c r="BB6" i="17"/>
  <c r="BC6" i="17"/>
  <c r="BD6" i="17"/>
  <c r="BE6" i="17"/>
  <c r="BF6" i="17"/>
  <c r="BG6" i="17"/>
  <c r="BH6" i="17"/>
  <c r="BI6" i="17"/>
  <c r="BJ6" i="17"/>
  <c r="BK6" i="17"/>
  <c r="BL6" i="17"/>
  <c r="BM6" i="17"/>
  <c r="BN6" i="17"/>
  <c r="BO6" i="17"/>
  <c r="BP6" i="17"/>
  <c r="BQ6" i="17"/>
  <c r="BR6" i="17"/>
  <c r="BS6" i="17"/>
  <c r="BT6" i="17"/>
  <c r="BU6" i="17"/>
  <c r="BV6" i="17"/>
  <c r="BW6" i="17"/>
  <c r="BX6" i="17"/>
  <c r="BY6" i="17"/>
  <c r="BZ6" i="17"/>
  <c r="CA6" i="17"/>
  <c r="CB6" i="17"/>
  <c r="CC6" i="17"/>
  <c r="CD6" i="17"/>
  <c r="CE6" i="17"/>
  <c r="CF6" i="17"/>
  <c r="CG6" i="17"/>
  <c r="CH6" i="17"/>
  <c r="CI6" i="17"/>
  <c r="CJ6" i="17"/>
  <c r="CK6" i="17"/>
  <c r="CL6" i="17"/>
  <c r="CM6" i="17"/>
  <c r="CN6" i="17"/>
  <c r="CO6" i="17"/>
  <c r="CP6" i="17"/>
  <c r="CQ6" i="17"/>
  <c r="CR6" i="17"/>
  <c r="CS6" i="17"/>
  <c r="CT6" i="17"/>
  <c r="CU6" i="17"/>
  <c r="CV6" i="17"/>
  <c r="CW6" i="17"/>
  <c r="CX6" i="17"/>
  <c r="CY6" i="17"/>
  <c r="CZ6" i="17"/>
  <c r="DA6" i="17"/>
  <c r="DB6" i="17"/>
  <c r="DC6" i="17"/>
  <c r="DD6" i="17"/>
  <c r="DE6" i="17"/>
  <c r="DF6" i="17"/>
  <c r="DG6" i="17"/>
  <c r="DH6" i="17"/>
  <c r="DI6" i="17"/>
  <c r="DJ6" i="17"/>
  <c r="DK6" i="17"/>
  <c r="DL6" i="17"/>
  <c r="DM6" i="17"/>
  <c r="DN6" i="17"/>
  <c r="DO6" i="17"/>
  <c r="DP6" i="17"/>
  <c r="DQ6" i="17"/>
  <c r="DR6" i="17"/>
  <c r="DS6" i="17"/>
  <c r="DT6" i="17"/>
  <c r="DU6" i="17"/>
  <c r="DV6" i="17"/>
  <c r="DW6" i="17"/>
  <c r="DX6" i="17"/>
  <c r="DY6" i="17"/>
  <c r="DZ6" i="17"/>
  <c r="EA6" i="17"/>
  <c r="EB6" i="17"/>
  <c r="EC6" i="17"/>
  <c r="ED6" i="17"/>
  <c r="EE6" i="17"/>
  <c r="EF6" i="17"/>
  <c r="EG6" i="17"/>
  <c r="EH6" i="17"/>
  <c r="EI6" i="17"/>
  <c r="EJ6" i="17"/>
  <c r="EK6" i="17"/>
  <c r="EL6" i="17"/>
  <c r="EM6" i="17"/>
  <c r="EN6" i="17"/>
  <c r="EO6" i="17"/>
  <c r="EP6" i="17"/>
  <c r="EQ6" i="17"/>
  <c r="ER6" i="17"/>
  <c r="ES6" i="17"/>
  <c r="ET6" i="17"/>
  <c r="EU6" i="17"/>
  <c r="EV6" i="17"/>
  <c r="EW6" i="17"/>
  <c r="EX6" i="17"/>
  <c r="EY6" i="17"/>
  <c r="EZ6" i="17"/>
  <c r="FA6" i="17"/>
  <c r="FB6" i="17"/>
  <c r="FC6" i="17"/>
  <c r="FD6" i="17"/>
  <c r="FE6" i="17"/>
  <c r="FF6" i="17"/>
  <c r="FG6" i="17"/>
  <c r="FH6" i="17"/>
  <c r="FI6" i="17"/>
  <c r="FJ6" i="17"/>
  <c r="FK6" i="17"/>
  <c r="FL6" i="17"/>
  <c r="FM6" i="17"/>
  <c r="FN6" i="17"/>
  <c r="FO6" i="17"/>
  <c r="FP6" i="17"/>
  <c r="FQ6" i="17"/>
  <c r="FR6" i="17"/>
  <c r="FS6" i="17"/>
  <c r="FT6" i="17"/>
  <c r="FU6" i="17"/>
  <c r="FV6" i="17"/>
  <c r="FW6" i="17"/>
  <c r="FX6" i="17"/>
  <c r="FY6" i="17"/>
  <c r="FZ6" i="17"/>
  <c r="GA6" i="17"/>
  <c r="GB6" i="17"/>
  <c r="GC6" i="17"/>
  <c r="GD6" i="17"/>
  <c r="GE6" i="17"/>
  <c r="GF6" i="17"/>
  <c r="GG6" i="17"/>
  <c r="GH6" i="17"/>
  <c r="GI6" i="17"/>
  <c r="GJ6" i="17"/>
  <c r="GK6" i="17"/>
  <c r="GL6" i="17"/>
  <c r="GM6" i="17"/>
  <c r="GN6" i="17"/>
  <c r="GO6" i="17"/>
  <c r="GP6" i="17"/>
  <c r="GQ6" i="17"/>
  <c r="GR6" i="17"/>
  <c r="GS6" i="17"/>
  <c r="GT6" i="17"/>
  <c r="GU6" i="17"/>
  <c r="GV6" i="17"/>
  <c r="GW6" i="17"/>
  <c r="GX6" i="17"/>
  <c r="GY6" i="17"/>
  <c r="GZ6" i="17"/>
  <c r="HA6" i="17"/>
  <c r="HB6" i="17"/>
  <c r="HC6" i="17"/>
  <c r="HD6" i="17"/>
  <c r="HE6" i="17"/>
  <c r="HF6" i="17"/>
  <c r="HG6" i="17"/>
  <c r="HH6" i="17"/>
  <c r="HI6" i="17"/>
  <c r="HJ6" i="17"/>
  <c r="HK6" i="17"/>
  <c r="HL6" i="17"/>
  <c r="HM6" i="17"/>
  <c r="HN6" i="17"/>
  <c r="HO6" i="17"/>
  <c r="HP6" i="17"/>
  <c r="HQ6" i="17"/>
  <c r="HR6" i="17"/>
  <c r="HS6" i="17"/>
  <c r="HT6" i="17"/>
  <c r="HU6" i="17"/>
  <c r="HV6" i="17"/>
  <c r="HW6" i="17"/>
  <c r="HX6" i="17"/>
  <c r="HY6" i="17"/>
  <c r="HZ6" i="17"/>
  <c r="IA6" i="17"/>
  <c r="IB6" i="17"/>
  <c r="IC6" i="17"/>
  <c r="ID6" i="17"/>
  <c r="IE6" i="17"/>
  <c r="IF6" i="17"/>
  <c r="IG6" i="17"/>
  <c r="IH6" i="17"/>
  <c r="II6" i="17"/>
  <c r="IJ6" i="17"/>
  <c r="IK6" i="17"/>
  <c r="IL6" i="17"/>
  <c r="IM6" i="17"/>
  <c r="IN6" i="17"/>
  <c r="IO6" i="17"/>
  <c r="IP6" i="17"/>
  <c r="IQ6" i="17"/>
  <c r="IR6" i="17"/>
  <c r="IS6" i="17"/>
  <c r="IT6" i="17"/>
  <c r="IU6" i="17"/>
  <c r="IV6" i="17"/>
  <c r="A7" i="17"/>
  <c r="B7" i="17"/>
  <c r="C7" i="17"/>
  <c r="D7" i="17"/>
  <c r="E7" i="17"/>
  <c r="F7" i="17"/>
  <c r="G7" i="17"/>
  <c r="H7" i="17"/>
  <c r="I7" i="17"/>
  <c r="J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AS7" i="17"/>
  <c r="AT7" i="17"/>
  <c r="AU7" i="17"/>
  <c r="AV7" i="17"/>
  <c r="AW7" i="17"/>
  <c r="AX7" i="17"/>
  <c r="AY7" i="17"/>
  <c r="AZ7" i="17"/>
  <c r="BA7" i="17"/>
  <c r="BB7" i="17"/>
  <c r="BC7" i="17"/>
  <c r="BD7" i="17"/>
  <c r="BE7" i="17"/>
  <c r="BF7" i="17"/>
  <c r="BG7" i="17"/>
  <c r="BH7" i="17"/>
  <c r="BI7" i="17"/>
  <c r="BJ7" i="17"/>
  <c r="BK7" i="17"/>
  <c r="BL7" i="17"/>
  <c r="BM7" i="17"/>
  <c r="BN7" i="17"/>
  <c r="BO7" i="17"/>
  <c r="BP7" i="17"/>
  <c r="BQ7" i="17"/>
  <c r="BR7" i="17"/>
  <c r="BS7" i="17"/>
  <c r="BT7" i="17"/>
  <c r="BU7" i="17"/>
  <c r="BV7" i="17"/>
  <c r="BW7" i="17"/>
  <c r="BX7" i="17"/>
  <c r="BY7" i="17"/>
  <c r="BZ7" i="17"/>
  <c r="CA7" i="17"/>
  <c r="CB7" i="17"/>
  <c r="CC7" i="17"/>
  <c r="CD7" i="17"/>
  <c r="CE7" i="17"/>
  <c r="CF7" i="17"/>
  <c r="CG7" i="17"/>
  <c r="CH7" i="17"/>
  <c r="CI7" i="17"/>
  <c r="CJ7" i="17"/>
  <c r="CK7" i="17"/>
  <c r="CL7" i="17"/>
  <c r="CM7" i="17"/>
  <c r="CN7" i="17"/>
  <c r="CO7" i="17"/>
  <c r="CP7" i="17"/>
  <c r="CQ7" i="17"/>
  <c r="CR7" i="17"/>
  <c r="CS7" i="17"/>
  <c r="CT7" i="17"/>
  <c r="CU7" i="17"/>
  <c r="CV7" i="17"/>
  <c r="CW7" i="17"/>
  <c r="CX7" i="17"/>
  <c r="CY7" i="17"/>
  <c r="CZ7" i="17"/>
  <c r="DA7" i="17"/>
  <c r="DB7" i="17"/>
  <c r="DC7" i="17"/>
  <c r="DD7" i="17"/>
  <c r="DE7" i="17"/>
  <c r="DF7" i="17"/>
  <c r="DG7" i="17"/>
  <c r="DH7" i="17"/>
  <c r="DI7" i="17"/>
  <c r="DJ7" i="17"/>
  <c r="DL7" i="17"/>
  <c r="DM7" i="17"/>
  <c r="DO7" i="17"/>
  <c r="DP7" i="17"/>
  <c r="DR7" i="17"/>
  <c r="DS7" i="17"/>
  <c r="DT7" i="17"/>
  <c r="DU7" i="17"/>
  <c r="DV7" i="17"/>
  <c r="DW7" i="17"/>
  <c r="DX7" i="17"/>
  <c r="DY7" i="17"/>
  <c r="DZ7" i="17"/>
  <c r="EA7" i="17"/>
  <c r="EB7" i="17"/>
  <c r="EC7" i="17"/>
  <c r="ED7" i="17"/>
  <c r="EE7" i="17"/>
  <c r="EF7" i="17"/>
  <c r="EG7" i="17"/>
  <c r="EH7" i="17"/>
  <c r="EI7" i="17"/>
  <c r="EJ7" i="17"/>
  <c r="EK7" i="17"/>
  <c r="EL7" i="17"/>
  <c r="EM7" i="17"/>
  <c r="EN7" i="17"/>
  <c r="EO7" i="17"/>
  <c r="EP7" i="17"/>
  <c r="EQ7" i="17"/>
  <c r="ER7" i="17"/>
  <c r="ES7" i="17"/>
  <c r="ET7" i="17"/>
  <c r="EU7" i="17"/>
  <c r="EV7" i="17"/>
  <c r="EW7" i="17"/>
  <c r="EX7" i="17"/>
  <c r="EY7" i="17"/>
  <c r="EZ7" i="17"/>
  <c r="FA7" i="17"/>
  <c r="FB7" i="17"/>
  <c r="FC7" i="17"/>
  <c r="FD7" i="17"/>
  <c r="FE7" i="17"/>
  <c r="FF7" i="17"/>
  <c r="FG7" i="17"/>
  <c r="FH7" i="17"/>
  <c r="FI7" i="17"/>
  <c r="FJ7" i="17"/>
  <c r="FK7" i="17"/>
  <c r="FL7" i="17"/>
  <c r="FM7" i="17"/>
  <c r="FN7" i="17"/>
  <c r="FO7" i="17"/>
  <c r="FP7" i="17"/>
  <c r="FQ7" i="17"/>
  <c r="FR7" i="17"/>
  <c r="FS7" i="17"/>
  <c r="FT7" i="17"/>
  <c r="FU7" i="17"/>
  <c r="FV7" i="17"/>
  <c r="FW7" i="17"/>
  <c r="FX7" i="17"/>
  <c r="FY7" i="17"/>
  <c r="FZ7" i="17"/>
  <c r="GA7" i="17"/>
  <c r="GB7" i="17"/>
  <c r="GC7" i="17"/>
  <c r="GD7" i="17"/>
  <c r="GE7" i="17"/>
  <c r="GF7" i="17"/>
  <c r="GG7" i="17"/>
  <c r="GH7" i="17"/>
  <c r="GI7" i="17"/>
  <c r="GJ7" i="17"/>
  <c r="GK7" i="17"/>
  <c r="GL7" i="17"/>
  <c r="GM7" i="17"/>
  <c r="GN7" i="17"/>
  <c r="GO7" i="17"/>
  <c r="GP7" i="17"/>
  <c r="GQ7" i="17"/>
  <c r="GR7" i="17"/>
  <c r="GS7" i="17"/>
  <c r="GT7" i="17"/>
  <c r="GU7" i="17"/>
  <c r="GV7" i="17"/>
  <c r="GW7" i="17"/>
  <c r="GX7" i="17"/>
  <c r="GY7" i="17"/>
  <c r="GZ7" i="17"/>
  <c r="HA7" i="17"/>
  <c r="HB7" i="17"/>
  <c r="HC7" i="17"/>
  <c r="HD7" i="17"/>
  <c r="HE7" i="17"/>
  <c r="HF7" i="17"/>
  <c r="HG7" i="17"/>
  <c r="HH7" i="17"/>
  <c r="HI7" i="17"/>
  <c r="HJ7" i="17"/>
  <c r="HK7" i="17"/>
  <c r="HL7" i="17"/>
  <c r="HM7" i="17"/>
  <c r="HN7" i="17"/>
  <c r="HO7" i="17"/>
  <c r="HP7" i="17"/>
  <c r="HQ7" i="17"/>
  <c r="HR7" i="17"/>
  <c r="HS7" i="17"/>
  <c r="HT7" i="17"/>
  <c r="HU7" i="17"/>
  <c r="HV7" i="17"/>
  <c r="HW7" i="17"/>
  <c r="HX7" i="17"/>
  <c r="HY7" i="17"/>
  <c r="HZ7" i="17"/>
  <c r="IA7" i="17"/>
  <c r="IB7" i="17"/>
  <c r="IC7" i="17"/>
  <c r="ID7" i="17"/>
  <c r="IE7" i="17"/>
  <c r="IF7" i="17"/>
  <c r="IG7" i="17"/>
  <c r="IH7" i="17"/>
  <c r="II7" i="17"/>
  <c r="IJ7" i="17"/>
  <c r="IK7" i="17"/>
  <c r="IL7" i="17"/>
  <c r="IM7" i="17"/>
  <c r="IN7" i="17"/>
  <c r="IO7" i="17"/>
  <c r="IP7" i="17"/>
  <c r="IQ7" i="17"/>
  <c r="IR7" i="17"/>
  <c r="IS7" i="17"/>
  <c r="IT7" i="17"/>
  <c r="IU7" i="17"/>
  <c r="IV7" i="17"/>
  <c r="A8" i="17"/>
  <c r="B8" i="17"/>
  <c r="C8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AS8" i="17"/>
  <c r="AT8" i="17"/>
  <c r="AU8" i="17"/>
  <c r="AV8" i="17"/>
  <c r="AW8" i="17"/>
  <c r="AX8" i="17"/>
  <c r="AY8" i="17"/>
  <c r="AZ8" i="17"/>
  <c r="BA8" i="17"/>
  <c r="BB8" i="17"/>
  <c r="BC8" i="17"/>
  <c r="BD8" i="17"/>
  <c r="BE8" i="17"/>
  <c r="BF8" i="17"/>
  <c r="BG8" i="17"/>
  <c r="BH8" i="17"/>
  <c r="BI8" i="17"/>
  <c r="BJ8" i="17"/>
  <c r="BK8" i="17"/>
  <c r="BL8" i="17"/>
  <c r="BM8" i="17"/>
  <c r="BN8" i="17"/>
  <c r="BO8" i="17"/>
  <c r="BP8" i="17"/>
  <c r="BQ8" i="17"/>
  <c r="BR8" i="17"/>
  <c r="BS8" i="17"/>
  <c r="BT8" i="17"/>
  <c r="BU8" i="17"/>
  <c r="BV8" i="17"/>
  <c r="BW8" i="17"/>
  <c r="BX8" i="17"/>
  <c r="BY8" i="17"/>
  <c r="BZ8" i="17"/>
  <c r="CA8" i="17"/>
  <c r="CB8" i="17"/>
  <c r="CC8" i="17"/>
  <c r="CD8" i="17"/>
  <c r="CE8" i="17"/>
  <c r="CF8" i="17"/>
  <c r="CG8" i="17"/>
  <c r="CH8" i="17"/>
  <c r="CI8" i="17"/>
  <c r="CJ8" i="17"/>
  <c r="CK8" i="17"/>
  <c r="CL8" i="17"/>
  <c r="CM8" i="17"/>
  <c r="CN8" i="17"/>
  <c r="CO8" i="17"/>
  <c r="CP8" i="17"/>
  <c r="CQ8" i="17"/>
  <c r="CR8" i="17"/>
  <c r="CS8" i="17"/>
  <c r="CT8" i="17"/>
  <c r="CU8" i="17"/>
  <c r="CV8" i="17"/>
  <c r="CW8" i="17"/>
  <c r="CX8" i="17"/>
  <c r="CY8" i="17"/>
  <c r="CZ8" i="17"/>
  <c r="DA8" i="17"/>
  <c r="DB8" i="17"/>
  <c r="DC8" i="17"/>
  <c r="DD8" i="17"/>
  <c r="DE8" i="17"/>
  <c r="DF8" i="17"/>
  <c r="DG8" i="17"/>
  <c r="DH8" i="17"/>
  <c r="DI8" i="17"/>
  <c r="DJ8" i="17"/>
  <c r="DK8" i="17"/>
  <c r="DL8" i="17"/>
  <c r="DM8" i="17"/>
  <c r="DN8" i="17"/>
  <c r="DO8" i="17"/>
  <c r="DP8" i="17"/>
  <c r="DQ8" i="17"/>
  <c r="DR8" i="17"/>
  <c r="DS8" i="17"/>
  <c r="DT8" i="17"/>
  <c r="DU8" i="17"/>
  <c r="DV8" i="17"/>
  <c r="DW8" i="17"/>
  <c r="DX8" i="17"/>
  <c r="DY8" i="17"/>
  <c r="DZ8" i="17"/>
  <c r="EA8" i="17"/>
  <c r="EB8" i="17"/>
  <c r="EC8" i="17"/>
  <c r="ED8" i="17"/>
  <c r="EE8" i="17"/>
  <c r="EF8" i="17"/>
  <c r="EG8" i="17"/>
  <c r="EH8" i="17"/>
  <c r="EI8" i="17"/>
  <c r="EJ8" i="17"/>
  <c r="EK8" i="17"/>
  <c r="EL8" i="17"/>
  <c r="EM8" i="17"/>
  <c r="EN8" i="17"/>
  <c r="EO8" i="17"/>
  <c r="EP8" i="17"/>
  <c r="EQ8" i="17"/>
  <c r="ER8" i="17"/>
  <c r="ES8" i="17"/>
  <c r="ET8" i="17"/>
  <c r="EU8" i="17"/>
  <c r="EV8" i="17"/>
  <c r="EW8" i="17"/>
  <c r="EX8" i="17"/>
  <c r="EY8" i="17"/>
  <c r="EZ8" i="17"/>
  <c r="FA8" i="17"/>
  <c r="FB8" i="17"/>
  <c r="FC8" i="17"/>
  <c r="FD8" i="17"/>
  <c r="FE8" i="17"/>
  <c r="FF8" i="17"/>
  <c r="FG8" i="17"/>
  <c r="FH8" i="17"/>
  <c r="FI8" i="17"/>
  <c r="FJ8" i="17"/>
  <c r="FK8" i="17"/>
  <c r="FL8" i="17"/>
  <c r="FM8" i="17"/>
  <c r="FN8" i="17"/>
  <c r="FO8" i="17"/>
  <c r="FP8" i="17"/>
  <c r="FQ8" i="17"/>
  <c r="FR8" i="17"/>
  <c r="FS8" i="17"/>
  <c r="FT8" i="17"/>
  <c r="FU8" i="17"/>
  <c r="FV8" i="17"/>
  <c r="FW8" i="17"/>
  <c r="FX8" i="17"/>
  <c r="FY8" i="17"/>
  <c r="FZ8" i="17"/>
  <c r="GA8" i="17"/>
  <c r="GB8" i="17"/>
  <c r="GC8" i="17"/>
  <c r="GD8" i="17"/>
  <c r="GE8" i="17"/>
  <c r="GF8" i="17"/>
  <c r="GG8" i="17"/>
  <c r="GH8" i="17"/>
  <c r="GI8" i="17"/>
  <c r="GJ8" i="17"/>
  <c r="GK8" i="17"/>
  <c r="GL8" i="17"/>
  <c r="GM8" i="17"/>
  <c r="GN8" i="17"/>
  <c r="GO8" i="17"/>
  <c r="GP8" i="17"/>
  <c r="GQ8" i="17"/>
  <c r="GR8" i="17"/>
  <c r="GS8" i="17"/>
  <c r="GT8" i="17"/>
  <c r="GU8" i="17"/>
  <c r="GV8" i="17"/>
  <c r="GW8" i="17"/>
  <c r="GX8" i="17"/>
  <c r="GY8" i="17"/>
  <c r="GZ8" i="17"/>
  <c r="HA8" i="17"/>
  <c r="HB8" i="17"/>
  <c r="HC8" i="17"/>
  <c r="HD8" i="17"/>
  <c r="HE8" i="17"/>
  <c r="HF8" i="17"/>
  <c r="HG8" i="17"/>
  <c r="HH8" i="17"/>
  <c r="HI8" i="17"/>
  <c r="HJ8" i="17"/>
  <c r="HK8" i="17"/>
  <c r="HL8" i="17"/>
  <c r="HM8" i="17"/>
  <c r="HN8" i="17"/>
  <c r="HO8" i="17"/>
  <c r="HP8" i="17"/>
  <c r="HQ8" i="17"/>
  <c r="HR8" i="17"/>
  <c r="HS8" i="17"/>
  <c r="HT8" i="17"/>
  <c r="HU8" i="17"/>
  <c r="HV8" i="17"/>
  <c r="HW8" i="17"/>
  <c r="HX8" i="17"/>
  <c r="HY8" i="17"/>
  <c r="HZ8" i="17"/>
  <c r="IA8" i="17"/>
  <c r="IB8" i="17"/>
  <c r="IC8" i="17"/>
  <c r="ID8" i="17"/>
  <c r="IE8" i="17"/>
  <c r="IF8" i="17"/>
  <c r="IG8" i="17"/>
  <c r="IH8" i="17"/>
  <c r="II8" i="17"/>
  <c r="IJ8" i="17"/>
  <c r="IK8" i="17"/>
  <c r="IL8" i="17"/>
  <c r="IM8" i="17"/>
  <c r="IN8" i="17"/>
  <c r="IO8" i="17"/>
  <c r="IP8" i="17"/>
  <c r="IQ8" i="17"/>
  <c r="IR8" i="17"/>
  <c r="IS8" i="17"/>
  <c r="IT8" i="17"/>
  <c r="IU8" i="17"/>
  <c r="IV8" i="17"/>
  <c r="A9" i="17"/>
  <c r="B9" i="17"/>
  <c r="C9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AS9" i="17"/>
  <c r="AT9" i="17"/>
  <c r="AU9" i="17"/>
  <c r="AV9" i="17"/>
  <c r="AW9" i="17"/>
  <c r="AX9" i="17"/>
  <c r="AY9" i="17"/>
  <c r="AZ9" i="17"/>
  <c r="BA9" i="17"/>
  <c r="BB9" i="17"/>
  <c r="BC9" i="17"/>
  <c r="BD9" i="17"/>
  <c r="BE9" i="17"/>
  <c r="BF9" i="17"/>
  <c r="BG9" i="17"/>
  <c r="BH9" i="17"/>
  <c r="BI9" i="17"/>
  <c r="BJ9" i="17"/>
  <c r="BK9" i="17"/>
  <c r="BL9" i="17"/>
  <c r="BM9" i="17"/>
  <c r="BN9" i="17"/>
  <c r="BO9" i="17"/>
  <c r="BP9" i="17"/>
  <c r="BQ9" i="17"/>
  <c r="BR9" i="17"/>
  <c r="BS9" i="17"/>
  <c r="BT9" i="17"/>
  <c r="BU9" i="17"/>
  <c r="BV9" i="17"/>
  <c r="BW9" i="17"/>
  <c r="BX9" i="17"/>
  <c r="BY9" i="17"/>
  <c r="BZ9" i="17"/>
  <c r="CA9" i="17"/>
  <c r="CB9" i="17"/>
  <c r="CC9" i="17"/>
  <c r="CD9" i="17"/>
  <c r="CE9" i="17"/>
  <c r="CF9" i="17"/>
  <c r="CG9" i="17"/>
  <c r="CH9" i="17"/>
  <c r="CI9" i="17"/>
  <c r="CJ9" i="17"/>
  <c r="CK9" i="17"/>
  <c r="CL9" i="17"/>
  <c r="CM9" i="17"/>
  <c r="CN9" i="17"/>
  <c r="CO9" i="17"/>
  <c r="CP9" i="17"/>
  <c r="CQ9" i="17"/>
  <c r="CR9" i="17"/>
  <c r="CS9" i="17"/>
  <c r="CT9" i="17"/>
  <c r="CU9" i="17"/>
  <c r="CV9" i="17"/>
  <c r="CW9" i="17"/>
  <c r="CX9" i="17"/>
  <c r="CY9" i="17"/>
  <c r="CZ9" i="17"/>
  <c r="DA9" i="17"/>
  <c r="DB9" i="17"/>
  <c r="DC9" i="17"/>
  <c r="DD9" i="17"/>
  <c r="DE9" i="17"/>
  <c r="DF9" i="17"/>
  <c r="DG9" i="17"/>
  <c r="DH9" i="17"/>
  <c r="DI9" i="17"/>
  <c r="DJ9" i="17"/>
  <c r="DK9" i="17"/>
  <c r="DL9" i="17"/>
  <c r="DM9" i="17"/>
  <c r="DN9" i="17"/>
  <c r="DO9" i="17"/>
  <c r="DP9" i="17"/>
  <c r="DQ9" i="17"/>
  <c r="DR9" i="17"/>
  <c r="DS9" i="17"/>
  <c r="DT9" i="17"/>
  <c r="DU9" i="17"/>
  <c r="DV9" i="17"/>
  <c r="DW9" i="17"/>
  <c r="DX9" i="17"/>
  <c r="DY9" i="17"/>
  <c r="DZ9" i="17"/>
  <c r="EA9" i="17"/>
  <c r="EB9" i="17"/>
  <c r="EC9" i="17"/>
  <c r="ED9" i="17"/>
  <c r="EE9" i="17"/>
  <c r="EF9" i="17"/>
  <c r="EG9" i="17"/>
  <c r="EH9" i="17"/>
  <c r="EI9" i="17"/>
  <c r="EJ9" i="17"/>
  <c r="EK9" i="17"/>
  <c r="EL9" i="17"/>
  <c r="EM9" i="17"/>
  <c r="EN9" i="17"/>
  <c r="EO9" i="17"/>
  <c r="EP9" i="17"/>
  <c r="EQ9" i="17"/>
  <c r="ER9" i="17"/>
  <c r="ES9" i="17"/>
  <c r="ET9" i="17"/>
  <c r="EU9" i="17"/>
  <c r="EV9" i="17"/>
  <c r="EW9" i="17"/>
  <c r="EX9" i="17"/>
  <c r="EY9" i="17"/>
  <c r="EZ9" i="17"/>
  <c r="FA9" i="17"/>
  <c r="FB9" i="17"/>
  <c r="FC9" i="17"/>
  <c r="FD9" i="17"/>
  <c r="FE9" i="17"/>
  <c r="FF9" i="17"/>
  <c r="FG9" i="17"/>
  <c r="FH9" i="17"/>
  <c r="FI9" i="17"/>
  <c r="FJ9" i="17"/>
  <c r="FK9" i="17"/>
  <c r="FL9" i="17"/>
  <c r="FM9" i="17"/>
  <c r="FN9" i="17"/>
  <c r="FO9" i="17"/>
  <c r="FP9" i="17"/>
  <c r="FQ9" i="17"/>
  <c r="FR9" i="17"/>
  <c r="FS9" i="17"/>
  <c r="FT9" i="17"/>
  <c r="FU9" i="17"/>
  <c r="FV9" i="17"/>
  <c r="FW9" i="17"/>
  <c r="FX9" i="17"/>
  <c r="FY9" i="17"/>
  <c r="FZ9" i="17"/>
  <c r="GA9" i="17"/>
  <c r="GB9" i="17"/>
  <c r="GC9" i="17"/>
  <c r="GD9" i="17"/>
  <c r="GE9" i="17"/>
  <c r="GF9" i="17"/>
  <c r="GG9" i="17"/>
  <c r="GH9" i="17"/>
  <c r="GI9" i="17"/>
  <c r="GJ9" i="17"/>
  <c r="GK9" i="17"/>
  <c r="GL9" i="17"/>
  <c r="GM9" i="17"/>
  <c r="GN9" i="17"/>
  <c r="GO9" i="17"/>
  <c r="GP9" i="17"/>
  <c r="GQ9" i="17"/>
  <c r="GR9" i="17"/>
  <c r="GS9" i="17"/>
  <c r="GT9" i="17"/>
  <c r="GU9" i="17"/>
  <c r="GV9" i="17"/>
  <c r="GW9" i="17"/>
  <c r="GX9" i="17"/>
  <c r="GY9" i="17"/>
  <c r="GZ9" i="17"/>
  <c r="HA9" i="17"/>
  <c r="HB9" i="17"/>
  <c r="HC9" i="17"/>
  <c r="HD9" i="17"/>
  <c r="HE9" i="17"/>
  <c r="HF9" i="17"/>
  <c r="HG9" i="17"/>
  <c r="HH9" i="17"/>
  <c r="HI9" i="17"/>
  <c r="HJ9" i="17"/>
  <c r="HK9" i="17"/>
  <c r="HL9" i="17"/>
  <c r="HM9" i="17"/>
  <c r="HN9" i="17"/>
  <c r="HO9" i="17"/>
  <c r="HP9" i="17"/>
  <c r="HQ9" i="17"/>
  <c r="HR9" i="17"/>
  <c r="HS9" i="17"/>
  <c r="HT9" i="17"/>
  <c r="HU9" i="17"/>
  <c r="HV9" i="17"/>
  <c r="HW9" i="17"/>
  <c r="HX9" i="17"/>
  <c r="HY9" i="17"/>
  <c r="HZ9" i="17"/>
  <c r="IA9" i="17"/>
  <c r="IB9" i="17"/>
  <c r="IC9" i="17"/>
  <c r="ID9" i="17"/>
  <c r="IE9" i="17"/>
  <c r="IF9" i="17"/>
  <c r="IG9" i="17"/>
  <c r="IH9" i="17"/>
  <c r="II9" i="17"/>
  <c r="IJ9" i="17"/>
  <c r="IK9" i="17"/>
  <c r="IL9" i="17"/>
  <c r="IM9" i="17"/>
  <c r="IN9" i="17"/>
  <c r="IO9" i="17"/>
  <c r="IP9" i="17"/>
  <c r="IQ9" i="17"/>
  <c r="IR9" i="17"/>
  <c r="IS9" i="17"/>
  <c r="IT9" i="17"/>
  <c r="IU9" i="17"/>
  <c r="IV9" i="17"/>
  <c r="A10" i="17"/>
  <c r="B10" i="17"/>
  <c r="C10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AS10" i="17"/>
  <c r="AT10" i="17"/>
  <c r="AU10" i="17"/>
  <c r="AV10" i="17"/>
  <c r="AW10" i="17"/>
  <c r="AX10" i="17"/>
  <c r="AY10" i="17"/>
  <c r="AZ10" i="17"/>
  <c r="BA10" i="17"/>
  <c r="BB10" i="17"/>
  <c r="BC10" i="17"/>
  <c r="BD10" i="17"/>
  <c r="BE10" i="17"/>
  <c r="BF10" i="17"/>
  <c r="BG10" i="17"/>
  <c r="BH10" i="17"/>
  <c r="BI10" i="17"/>
  <c r="BJ10" i="17"/>
  <c r="BK10" i="17"/>
  <c r="BL10" i="17"/>
  <c r="BM10" i="17"/>
  <c r="BN10" i="17"/>
  <c r="BO10" i="17"/>
  <c r="BP10" i="17"/>
  <c r="BQ10" i="17"/>
  <c r="BR10" i="17"/>
  <c r="BS10" i="17"/>
  <c r="BT10" i="17"/>
  <c r="BU10" i="17"/>
  <c r="BV10" i="17"/>
  <c r="BW10" i="17"/>
  <c r="BX10" i="17"/>
  <c r="BY10" i="17"/>
  <c r="BZ10" i="17"/>
  <c r="CA10" i="17"/>
  <c r="CB10" i="17"/>
  <c r="CC10" i="17"/>
  <c r="CD10" i="17"/>
  <c r="CE10" i="17"/>
  <c r="CF10" i="17"/>
  <c r="CG10" i="17"/>
  <c r="CH10" i="17"/>
  <c r="CI10" i="17"/>
  <c r="CJ10" i="17"/>
  <c r="CK10" i="17"/>
  <c r="CL10" i="17"/>
  <c r="CM10" i="17"/>
  <c r="CN10" i="17"/>
  <c r="CO10" i="17"/>
  <c r="CP10" i="17"/>
  <c r="CQ10" i="17"/>
  <c r="CR10" i="17"/>
  <c r="CS10" i="17"/>
  <c r="CT10" i="17"/>
  <c r="CU10" i="17"/>
  <c r="CV10" i="17"/>
  <c r="CW10" i="17"/>
  <c r="CX10" i="17"/>
  <c r="CY10" i="17"/>
  <c r="CZ10" i="17"/>
  <c r="DA10" i="17"/>
  <c r="DB10" i="17"/>
  <c r="DC10" i="17"/>
  <c r="DD10" i="17"/>
  <c r="DE10" i="17"/>
  <c r="DF10" i="17"/>
  <c r="DG10" i="17"/>
  <c r="DH10" i="17"/>
  <c r="DI10" i="17"/>
  <c r="DJ10" i="17"/>
  <c r="DK10" i="17"/>
  <c r="DL10" i="17"/>
  <c r="DM10" i="17"/>
  <c r="DN10" i="17"/>
  <c r="DO10" i="17"/>
  <c r="DP10" i="17"/>
  <c r="DQ10" i="17"/>
  <c r="DR10" i="17"/>
  <c r="DS10" i="17"/>
  <c r="DT10" i="17"/>
  <c r="DU10" i="17"/>
  <c r="DV10" i="17"/>
  <c r="DW10" i="17"/>
  <c r="DX10" i="17"/>
  <c r="DY10" i="17"/>
  <c r="DZ10" i="17"/>
  <c r="EA10" i="17"/>
  <c r="EB10" i="17"/>
  <c r="EC10" i="17"/>
  <c r="ED10" i="17"/>
  <c r="EE10" i="17"/>
  <c r="EF10" i="17"/>
  <c r="EG10" i="17"/>
  <c r="EH10" i="17"/>
  <c r="EI10" i="17"/>
  <c r="EJ10" i="17"/>
  <c r="EK10" i="17"/>
  <c r="EL10" i="17"/>
  <c r="EM10" i="17"/>
  <c r="EN10" i="17"/>
  <c r="EO10" i="17"/>
  <c r="EP10" i="17"/>
  <c r="EQ10" i="17"/>
  <c r="ER10" i="17"/>
  <c r="ES10" i="17"/>
  <c r="ET10" i="17"/>
  <c r="EU10" i="17"/>
  <c r="EV10" i="17"/>
  <c r="EW10" i="17"/>
  <c r="EX10" i="17"/>
  <c r="EY10" i="17"/>
  <c r="EZ10" i="17"/>
  <c r="FA10" i="17"/>
  <c r="FB10" i="17"/>
  <c r="FC10" i="17"/>
  <c r="FD10" i="17"/>
  <c r="FE10" i="17"/>
  <c r="FF10" i="17"/>
  <c r="FG10" i="17"/>
  <c r="FH10" i="17"/>
  <c r="FI10" i="17"/>
  <c r="FJ10" i="17"/>
  <c r="FK10" i="17"/>
  <c r="FL10" i="17"/>
  <c r="FM10" i="17"/>
  <c r="FN10" i="17"/>
  <c r="FO10" i="17"/>
  <c r="FP10" i="17"/>
  <c r="FQ10" i="17"/>
  <c r="FR10" i="17"/>
  <c r="FS10" i="17"/>
  <c r="FT10" i="17"/>
  <c r="FU10" i="17"/>
  <c r="FV10" i="17"/>
  <c r="FW10" i="17"/>
  <c r="FX10" i="17"/>
  <c r="FY10" i="17"/>
  <c r="FZ10" i="17"/>
  <c r="GA10" i="17"/>
  <c r="GB10" i="17"/>
  <c r="GC10" i="17"/>
  <c r="GD10" i="17"/>
  <c r="GE10" i="17"/>
  <c r="GF10" i="17"/>
  <c r="GG10" i="17"/>
  <c r="GH10" i="17"/>
  <c r="GI10" i="17"/>
  <c r="GJ10" i="17"/>
  <c r="GK10" i="17"/>
  <c r="GL10" i="17"/>
  <c r="GM10" i="17"/>
  <c r="GN10" i="17"/>
  <c r="GO10" i="17"/>
  <c r="GP10" i="17"/>
  <c r="GQ10" i="17"/>
  <c r="GR10" i="17"/>
  <c r="GS10" i="17"/>
  <c r="GT10" i="17"/>
  <c r="GU10" i="17"/>
  <c r="GV10" i="17"/>
  <c r="GW10" i="17"/>
  <c r="GX10" i="17"/>
  <c r="GY10" i="17"/>
  <c r="GZ10" i="17"/>
  <c r="HA10" i="17"/>
  <c r="HB10" i="17"/>
  <c r="HC10" i="17"/>
  <c r="HD10" i="17"/>
  <c r="HE10" i="17"/>
  <c r="HF10" i="17"/>
  <c r="HG10" i="17"/>
  <c r="HH10" i="17"/>
  <c r="HI10" i="17"/>
  <c r="HJ10" i="17"/>
  <c r="HK10" i="17"/>
  <c r="HL10" i="17"/>
  <c r="HM10" i="17"/>
  <c r="HN10" i="17"/>
  <c r="HO10" i="17"/>
  <c r="HP10" i="17"/>
  <c r="HQ10" i="17"/>
  <c r="HR10" i="17"/>
  <c r="HS10" i="17"/>
  <c r="HT10" i="17"/>
  <c r="HU10" i="17"/>
  <c r="HV10" i="17"/>
  <c r="HW10" i="17"/>
  <c r="HX10" i="17"/>
  <c r="HY10" i="17"/>
  <c r="HZ10" i="17"/>
  <c r="IA10" i="17"/>
  <c r="IB10" i="17"/>
  <c r="IC10" i="17"/>
  <c r="ID10" i="17"/>
  <c r="IE10" i="17"/>
  <c r="IF10" i="17"/>
  <c r="IG10" i="17"/>
  <c r="IH10" i="17"/>
  <c r="II10" i="17"/>
  <c r="IJ10" i="17"/>
  <c r="IK10" i="17"/>
  <c r="IL10" i="17"/>
  <c r="IM10" i="17"/>
  <c r="IN10" i="17"/>
  <c r="IO10" i="17"/>
  <c r="IP10" i="17"/>
  <c r="IQ10" i="17"/>
  <c r="IR10" i="17"/>
  <c r="IS10" i="17"/>
  <c r="IT10" i="17"/>
  <c r="IU10" i="17"/>
  <c r="IV10" i="17"/>
  <c r="A11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AS11" i="17"/>
  <c r="AT11" i="17"/>
  <c r="AU11" i="17"/>
  <c r="AV11" i="17"/>
  <c r="AW11" i="17"/>
  <c r="AX11" i="17"/>
  <c r="AY11" i="17"/>
  <c r="AZ11" i="17"/>
  <c r="BA11" i="17"/>
  <c r="BB11" i="17"/>
  <c r="BC11" i="17"/>
  <c r="BD11" i="17"/>
  <c r="BE11" i="17"/>
  <c r="BF11" i="17"/>
  <c r="BG11" i="17"/>
  <c r="BH11" i="17"/>
  <c r="BI11" i="17"/>
  <c r="BJ11" i="17"/>
  <c r="BK11" i="17"/>
  <c r="BL11" i="17"/>
  <c r="BM11" i="17"/>
  <c r="BN11" i="17"/>
  <c r="BO11" i="17"/>
  <c r="BP11" i="17"/>
  <c r="BQ11" i="17"/>
  <c r="BR11" i="17"/>
  <c r="BS11" i="17"/>
  <c r="BT11" i="17"/>
  <c r="BU11" i="17"/>
  <c r="BV11" i="17"/>
  <c r="BW11" i="17"/>
  <c r="BX11" i="17"/>
  <c r="BY11" i="17"/>
  <c r="BZ11" i="17"/>
  <c r="CA11" i="17"/>
  <c r="CB11" i="17"/>
  <c r="CC11" i="17"/>
  <c r="CD11" i="17"/>
  <c r="CE11" i="17"/>
  <c r="CF11" i="17"/>
  <c r="CG11" i="17"/>
  <c r="CH11" i="17"/>
  <c r="CI11" i="17"/>
  <c r="CJ11" i="17"/>
  <c r="CK11" i="17"/>
  <c r="CL11" i="17"/>
  <c r="CM11" i="17"/>
  <c r="CN11" i="17"/>
  <c r="CO11" i="17"/>
  <c r="CP11" i="17"/>
  <c r="CQ11" i="17"/>
  <c r="CR11" i="17"/>
  <c r="CS11" i="17"/>
  <c r="CT11" i="17"/>
  <c r="CU11" i="17"/>
  <c r="CV11" i="17"/>
  <c r="CW11" i="17"/>
  <c r="CX11" i="17"/>
  <c r="CY11" i="17"/>
  <c r="CZ11" i="17"/>
  <c r="DA11" i="17"/>
  <c r="DB11" i="17"/>
  <c r="DC11" i="17"/>
  <c r="DD11" i="17"/>
  <c r="DE11" i="17"/>
  <c r="DF11" i="17"/>
  <c r="DG11" i="17"/>
  <c r="DH11" i="17"/>
  <c r="DI11" i="17"/>
  <c r="DJ11" i="17"/>
  <c r="DK11" i="17"/>
  <c r="DL11" i="17"/>
  <c r="DM11" i="17"/>
  <c r="DN11" i="17"/>
  <c r="DO11" i="17"/>
  <c r="DP11" i="17"/>
  <c r="DQ11" i="17"/>
  <c r="DR11" i="17"/>
  <c r="DS11" i="17"/>
  <c r="DT11" i="17"/>
  <c r="DU11" i="17"/>
  <c r="DV11" i="17"/>
  <c r="DW11" i="17"/>
  <c r="DX11" i="17"/>
  <c r="DY11" i="17"/>
  <c r="DZ11" i="17"/>
  <c r="EA11" i="17"/>
  <c r="EB11" i="17"/>
  <c r="EC11" i="17"/>
  <c r="ED11" i="17"/>
  <c r="EE11" i="17"/>
  <c r="EF11" i="17"/>
  <c r="EG11" i="17"/>
  <c r="EH11" i="17"/>
  <c r="EI11" i="17"/>
  <c r="EJ11" i="17"/>
  <c r="EK11" i="17"/>
  <c r="EL11" i="17"/>
  <c r="EM11" i="17"/>
  <c r="EN11" i="17"/>
  <c r="EO11" i="17"/>
  <c r="EP11" i="17"/>
  <c r="EQ11" i="17"/>
  <c r="ER11" i="17"/>
  <c r="ES11" i="17"/>
  <c r="ET11" i="17"/>
  <c r="EU11" i="17"/>
  <c r="EV11" i="17"/>
  <c r="EW11" i="17"/>
  <c r="EX11" i="17"/>
  <c r="EY11" i="17"/>
  <c r="EZ11" i="17"/>
  <c r="FA11" i="17"/>
  <c r="FB11" i="17"/>
  <c r="FC11" i="17"/>
  <c r="FD11" i="17"/>
  <c r="FE11" i="17"/>
  <c r="FF11" i="17"/>
  <c r="FG11" i="17"/>
  <c r="FH11" i="17"/>
  <c r="FI11" i="17"/>
  <c r="FJ11" i="17"/>
  <c r="FK11" i="17"/>
  <c r="FL11" i="17"/>
  <c r="FM11" i="17"/>
  <c r="FN11" i="17"/>
  <c r="FO11" i="17"/>
  <c r="FP11" i="17"/>
  <c r="FQ11" i="17"/>
  <c r="FR11" i="17"/>
  <c r="FS11" i="17"/>
  <c r="FT11" i="17"/>
  <c r="FU11" i="17"/>
  <c r="FV11" i="17"/>
  <c r="FW11" i="17"/>
  <c r="FX11" i="17"/>
  <c r="FY11" i="17"/>
  <c r="FZ11" i="17"/>
  <c r="GA11" i="17"/>
  <c r="GB11" i="17"/>
  <c r="GC11" i="17"/>
  <c r="GD11" i="17"/>
  <c r="GE11" i="17"/>
  <c r="GF11" i="17"/>
  <c r="GG11" i="17"/>
  <c r="GH11" i="17"/>
  <c r="GI11" i="17"/>
  <c r="GJ11" i="17"/>
  <c r="GK11" i="17"/>
  <c r="GL11" i="17"/>
  <c r="GM11" i="17"/>
  <c r="GN11" i="17"/>
  <c r="GO11" i="17"/>
  <c r="GP11" i="17"/>
  <c r="GQ11" i="17"/>
  <c r="GR11" i="17"/>
  <c r="GS11" i="17"/>
  <c r="GT11" i="17"/>
  <c r="GU11" i="17"/>
  <c r="GV11" i="17"/>
  <c r="GW11" i="17"/>
  <c r="GX11" i="17"/>
  <c r="GY11" i="17"/>
  <c r="GZ11" i="17"/>
  <c r="HA11" i="17"/>
  <c r="HB11" i="17"/>
  <c r="HC11" i="17"/>
  <c r="HD11" i="17"/>
  <c r="HE11" i="17"/>
  <c r="HF11" i="17"/>
  <c r="HG11" i="17"/>
  <c r="HH11" i="17"/>
  <c r="HI11" i="17"/>
  <c r="HJ11" i="17"/>
  <c r="HK11" i="17"/>
  <c r="HL11" i="17"/>
  <c r="HM11" i="17"/>
  <c r="HN11" i="17"/>
  <c r="HO11" i="17"/>
  <c r="HP11" i="17"/>
  <c r="HQ11" i="17"/>
  <c r="HR11" i="17"/>
  <c r="HS11" i="17"/>
  <c r="HT11" i="17"/>
  <c r="HU11" i="17"/>
  <c r="HV11" i="17"/>
  <c r="HW11" i="17"/>
  <c r="HX11" i="17"/>
  <c r="HY11" i="17"/>
  <c r="HZ11" i="17"/>
  <c r="IA11" i="17"/>
  <c r="IB11" i="17"/>
  <c r="IC11" i="17"/>
  <c r="ID11" i="17"/>
  <c r="IE11" i="17"/>
  <c r="IF11" i="17"/>
  <c r="IG11" i="17"/>
  <c r="IH11" i="17"/>
  <c r="II11" i="17"/>
  <c r="IJ11" i="17"/>
  <c r="IK11" i="17"/>
  <c r="IL11" i="17"/>
  <c r="IM11" i="17"/>
  <c r="IN11" i="17"/>
  <c r="IO11" i="17"/>
  <c r="IP11" i="17"/>
  <c r="IQ11" i="17"/>
  <c r="IR11" i="17"/>
  <c r="IS11" i="17"/>
  <c r="IT11" i="17"/>
  <c r="IU11" i="17"/>
  <c r="IV11" i="17"/>
  <c r="A12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AS12" i="17"/>
  <c r="AT12" i="17"/>
  <c r="AU12" i="17"/>
  <c r="AV12" i="17"/>
  <c r="AW12" i="17"/>
  <c r="AX12" i="17"/>
  <c r="AY12" i="17"/>
  <c r="AZ12" i="17"/>
  <c r="BA12" i="17"/>
  <c r="BB12" i="17"/>
  <c r="BC12" i="17"/>
  <c r="BD12" i="17"/>
  <c r="BE12" i="17"/>
  <c r="BF12" i="17"/>
  <c r="BG12" i="17"/>
  <c r="BH12" i="17"/>
  <c r="BI12" i="17"/>
  <c r="BJ12" i="17"/>
  <c r="BK12" i="17"/>
  <c r="BL12" i="17"/>
  <c r="BM12" i="17"/>
  <c r="BN12" i="17"/>
  <c r="BO12" i="17"/>
  <c r="BP12" i="17"/>
  <c r="BQ12" i="17"/>
  <c r="BR12" i="17"/>
  <c r="BS12" i="17"/>
  <c r="BT12" i="17"/>
  <c r="BU12" i="17"/>
  <c r="BV12" i="17"/>
  <c r="BW12" i="17"/>
  <c r="BX12" i="17"/>
  <c r="BY12" i="17"/>
  <c r="BZ12" i="17"/>
  <c r="CA12" i="17"/>
  <c r="CB12" i="17"/>
  <c r="CC12" i="17"/>
  <c r="CD12" i="17"/>
  <c r="CE12" i="17"/>
  <c r="CF12" i="17"/>
  <c r="CG12" i="17"/>
  <c r="CH12" i="17"/>
  <c r="CI12" i="17"/>
  <c r="CJ12" i="17"/>
  <c r="CK12" i="17"/>
  <c r="CL12" i="17"/>
  <c r="CM12" i="17"/>
  <c r="CN12" i="17"/>
  <c r="CO12" i="17"/>
  <c r="CP12" i="17"/>
  <c r="CQ12" i="17"/>
  <c r="CR12" i="17"/>
  <c r="CS12" i="17"/>
  <c r="CT12" i="17"/>
  <c r="CU12" i="17"/>
  <c r="CV12" i="17"/>
  <c r="CW12" i="17"/>
  <c r="CX12" i="17"/>
  <c r="CY12" i="17"/>
  <c r="CZ12" i="17"/>
  <c r="DA12" i="17"/>
  <c r="DB12" i="17"/>
  <c r="DC12" i="17"/>
  <c r="DD12" i="17"/>
  <c r="DE12" i="17"/>
  <c r="DF12" i="17"/>
  <c r="DG12" i="17"/>
  <c r="DH12" i="17"/>
  <c r="DI12" i="17"/>
  <c r="DJ12" i="17"/>
  <c r="DK12" i="17"/>
  <c r="DL12" i="17"/>
  <c r="DM12" i="17"/>
  <c r="DN12" i="17"/>
  <c r="DO12" i="17"/>
  <c r="DP12" i="17"/>
  <c r="DQ12" i="17"/>
  <c r="DR12" i="17"/>
  <c r="DS12" i="17"/>
  <c r="DT12" i="17"/>
  <c r="DU12" i="17"/>
  <c r="DV12" i="17"/>
  <c r="DW12" i="17"/>
  <c r="DX12" i="17"/>
  <c r="DY12" i="17"/>
  <c r="DZ12" i="17"/>
  <c r="EA12" i="17"/>
  <c r="EB12" i="17"/>
  <c r="EC12" i="17"/>
  <c r="ED12" i="17"/>
  <c r="EE12" i="17"/>
  <c r="EF12" i="17"/>
  <c r="EG12" i="17"/>
  <c r="EH12" i="17"/>
  <c r="EI12" i="17"/>
  <c r="EJ12" i="17"/>
  <c r="EK12" i="17"/>
  <c r="EL12" i="17"/>
  <c r="EM12" i="17"/>
  <c r="EN12" i="17"/>
  <c r="EO12" i="17"/>
  <c r="EP12" i="17"/>
  <c r="EQ12" i="17"/>
  <c r="ER12" i="17"/>
  <c r="ES12" i="17"/>
  <c r="ET12" i="17"/>
  <c r="EU12" i="17"/>
  <c r="EV12" i="17"/>
  <c r="EW12" i="17"/>
  <c r="EX12" i="17"/>
  <c r="EY12" i="17"/>
  <c r="EZ12" i="17"/>
  <c r="FA12" i="17"/>
  <c r="FB12" i="17"/>
  <c r="FC12" i="17"/>
  <c r="FD12" i="17"/>
  <c r="FE12" i="17"/>
  <c r="FF12" i="17"/>
  <c r="FG12" i="17"/>
  <c r="FH12" i="17"/>
  <c r="FI12" i="17"/>
  <c r="FJ12" i="17"/>
  <c r="FK12" i="17"/>
  <c r="FL12" i="17"/>
  <c r="FM12" i="17"/>
  <c r="FN12" i="17"/>
  <c r="FO12" i="17"/>
  <c r="FP12" i="17"/>
  <c r="FQ12" i="17"/>
  <c r="FR12" i="17"/>
  <c r="FS12" i="17"/>
  <c r="FT12" i="17"/>
  <c r="FU12" i="17"/>
  <c r="FV12" i="17"/>
  <c r="FW12" i="17"/>
  <c r="FX12" i="17"/>
  <c r="FY12" i="17"/>
  <c r="FZ12" i="17"/>
  <c r="GA12" i="17"/>
  <c r="GB12" i="17"/>
  <c r="GC12" i="17"/>
  <c r="GD12" i="17"/>
  <c r="GE12" i="17"/>
  <c r="GF12" i="17"/>
  <c r="GG12" i="17"/>
  <c r="GH12" i="17"/>
  <c r="GI12" i="17"/>
  <c r="GJ12" i="17"/>
  <c r="GK12" i="17"/>
  <c r="GL12" i="17"/>
  <c r="GM12" i="17"/>
  <c r="GN12" i="17"/>
  <c r="GO12" i="17"/>
  <c r="GP12" i="17"/>
  <c r="GQ12" i="17"/>
  <c r="GR12" i="17"/>
  <c r="GS12" i="17"/>
  <c r="GT12" i="17"/>
  <c r="GU12" i="17"/>
  <c r="GV12" i="17"/>
  <c r="GW12" i="17"/>
  <c r="GX12" i="17"/>
  <c r="GY12" i="17"/>
  <c r="GZ12" i="17"/>
  <c r="HA12" i="17"/>
  <c r="HB12" i="17"/>
  <c r="HC12" i="17"/>
  <c r="HD12" i="17"/>
  <c r="HE12" i="17"/>
  <c r="HF12" i="17"/>
  <c r="HG12" i="17"/>
  <c r="HH12" i="17"/>
  <c r="HI12" i="17"/>
  <c r="HJ12" i="17"/>
  <c r="HK12" i="17"/>
  <c r="HL12" i="17"/>
  <c r="HM12" i="17"/>
  <c r="HN12" i="17"/>
  <c r="HO12" i="17"/>
  <c r="HP12" i="17"/>
  <c r="HQ12" i="17"/>
  <c r="HR12" i="17"/>
  <c r="HS12" i="17"/>
  <c r="HT12" i="17"/>
  <c r="HU12" i="17"/>
  <c r="HV12" i="17"/>
  <c r="HW12" i="17"/>
  <c r="HX12" i="17"/>
  <c r="HY12" i="17"/>
  <c r="HZ12" i="17"/>
  <c r="IA12" i="17"/>
  <c r="IB12" i="17"/>
  <c r="IC12" i="17"/>
  <c r="ID12" i="17"/>
  <c r="IE12" i="17"/>
  <c r="IF12" i="17"/>
  <c r="IG12" i="17"/>
  <c r="IH12" i="17"/>
  <c r="II12" i="17"/>
  <c r="IJ12" i="17"/>
  <c r="IK12" i="17"/>
  <c r="IL12" i="17"/>
  <c r="IM12" i="17"/>
  <c r="IN12" i="17"/>
  <c r="IO12" i="17"/>
  <c r="IP12" i="17"/>
  <c r="IQ12" i="17"/>
  <c r="IR12" i="17"/>
  <c r="IS12" i="17"/>
  <c r="IT12" i="17"/>
  <c r="IU12" i="17"/>
  <c r="IV12" i="17"/>
  <c r="A13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AS13" i="17"/>
  <c r="AT13" i="17"/>
  <c r="AU13" i="17"/>
  <c r="AV13" i="17"/>
  <c r="AW13" i="17"/>
  <c r="AX13" i="17"/>
  <c r="AY13" i="17"/>
  <c r="AZ13" i="17"/>
  <c r="BA13" i="17"/>
  <c r="BB13" i="17"/>
  <c r="BC13" i="17"/>
  <c r="BD13" i="17"/>
  <c r="BE13" i="17"/>
  <c r="BF13" i="17"/>
  <c r="BG13" i="17"/>
  <c r="BH13" i="17"/>
  <c r="BI13" i="17"/>
  <c r="BJ13" i="17"/>
  <c r="BK13" i="17"/>
  <c r="BL13" i="17"/>
  <c r="BM13" i="17"/>
  <c r="BN13" i="17"/>
  <c r="BO13" i="17"/>
  <c r="BP13" i="17"/>
  <c r="BQ13" i="17"/>
  <c r="BR13" i="17"/>
  <c r="BS13" i="17"/>
  <c r="BT13" i="17"/>
  <c r="BU13" i="17"/>
  <c r="BV13" i="17"/>
  <c r="BW13" i="17"/>
  <c r="BX13" i="17"/>
  <c r="BY13" i="17"/>
  <c r="BZ13" i="17"/>
  <c r="CA13" i="17"/>
  <c r="CB13" i="17"/>
  <c r="CC13" i="17"/>
  <c r="CD13" i="17"/>
  <c r="CE13" i="17"/>
  <c r="CF13" i="17"/>
  <c r="CG13" i="17"/>
  <c r="CH13" i="17"/>
  <c r="CI13" i="17"/>
  <c r="CJ13" i="17"/>
  <c r="CK13" i="17"/>
  <c r="CL13" i="17"/>
  <c r="CM13" i="17"/>
  <c r="CN13" i="17"/>
  <c r="CO13" i="17"/>
  <c r="CP13" i="17"/>
  <c r="CQ13" i="17"/>
  <c r="CR13" i="17"/>
  <c r="CS13" i="17"/>
  <c r="CT13" i="17"/>
  <c r="CU13" i="17"/>
  <c r="CV13" i="17"/>
  <c r="CW13" i="17"/>
  <c r="CX13" i="17"/>
  <c r="CY13" i="17"/>
  <c r="CZ13" i="17"/>
  <c r="DA13" i="17"/>
  <c r="DB13" i="17"/>
  <c r="DC13" i="17"/>
  <c r="DD13" i="17"/>
  <c r="DE13" i="17"/>
  <c r="DF13" i="17"/>
  <c r="DG13" i="17"/>
  <c r="DH13" i="17"/>
  <c r="DI13" i="17"/>
  <c r="DJ13" i="17"/>
  <c r="DK13" i="17"/>
  <c r="DL13" i="17"/>
  <c r="DM13" i="17"/>
  <c r="DN13" i="17"/>
  <c r="DO13" i="17"/>
  <c r="DP13" i="17"/>
  <c r="DQ13" i="17"/>
  <c r="DR13" i="17"/>
  <c r="DS13" i="17"/>
  <c r="DT13" i="17"/>
  <c r="DU13" i="17"/>
  <c r="DV13" i="17"/>
  <c r="DW13" i="17"/>
  <c r="DX13" i="17"/>
  <c r="DY13" i="17"/>
  <c r="DZ13" i="17"/>
  <c r="EA13" i="17"/>
  <c r="EB13" i="17"/>
  <c r="EC13" i="17"/>
  <c r="ED13" i="17"/>
  <c r="EE13" i="17"/>
  <c r="EF13" i="17"/>
  <c r="EG13" i="17"/>
  <c r="EH13" i="17"/>
  <c r="EI13" i="17"/>
  <c r="EJ13" i="17"/>
  <c r="EK13" i="17"/>
  <c r="EL13" i="17"/>
  <c r="EM13" i="17"/>
  <c r="EN13" i="17"/>
  <c r="EO13" i="17"/>
  <c r="EP13" i="17"/>
  <c r="EQ13" i="17"/>
  <c r="ER13" i="17"/>
  <c r="ES13" i="17"/>
  <c r="ET13" i="17"/>
  <c r="EU13" i="17"/>
  <c r="EV13" i="17"/>
  <c r="EW13" i="17"/>
  <c r="EX13" i="17"/>
  <c r="EY13" i="17"/>
  <c r="EZ13" i="17"/>
  <c r="FA13" i="17"/>
  <c r="FB13" i="17"/>
  <c r="FC13" i="17"/>
  <c r="FD13" i="17"/>
  <c r="FE13" i="17"/>
  <c r="FF13" i="17"/>
  <c r="FG13" i="17"/>
  <c r="FH13" i="17"/>
  <c r="FI13" i="17"/>
  <c r="FJ13" i="17"/>
  <c r="FK13" i="17"/>
  <c r="FL13" i="17"/>
  <c r="FM13" i="17"/>
  <c r="FN13" i="17"/>
  <c r="FO13" i="17"/>
  <c r="FP13" i="17"/>
  <c r="FQ13" i="17"/>
  <c r="FR13" i="17"/>
  <c r="FS13" i="17"/>
  <c r="FT13" i="17"/>
  <c r="FU13" i="17"/>
  <c r="FV13" i="17"/>
  <c r="FW13" i="17"/>
  <c r="FX13" i="17"/>
  <c r="FY13" i="17"/>
  <c r="FZ13" i="17"/>
  <c r="GA13" i="17"/>
  <c r="GB13" i="17"/>
  <c r="GC13" i="17"/>
  <c r="GD13" i="17"/>
  <c r="GE13" i="17"/>
  <c r="GF13" i="17"/>
  <c r="GG13" i="17"/>
  <c r="GH13" i="17"/>
  <c r="GI13" i="17"/>
  <c r="GJ13" i="17"/>
  <c r="GK13" i="17"/>
  <c r="GL13" i="17"/>
  <c r="GM13" i="17"/>
  <c r="GN13" i="17"/>
  <c r="GO13" i="17"/>
  <c r="GP13" i="17"/>
  <c r="GQ13" i="17"/>
  <c r="GR13" i="17"/>
  <c r="GS13" i="17"/>
  <c r="GT13" i="17"/>
  <c r="GU13" i="17"/>
  <c r="GV13" i="17"/>
  <c r="GW13" i="17"/>
  <c r="GX13" i="17"/>
  <c r="GY13" i="17"/>
  <c r="GZ13" i="17"/>
  <c r="HA13" i="17"/>
  <c r="HB13" i="17"/>
  <c r="HC13" i="17"/>
  <c r="HD13" i="17"/>
  <c r="HE13" i="17"/>
  <c r="HF13" i="17"/>
  <c r="HG13" i="17"/>
  <c r="HH13" i="17"/>
  <c r="HI13" i="17"/>
  <c r="HJ13" i="17"/>
  <c r="HK13" i="17"/>
  <c r="HL13" i="17"/>
  <c r="HM13" i="17"/>
  <c r="HN13" i="17"/>
  <c r="HO13" i="17"/>
  <c r="HP13" i="17"/>
  <c r="HQ13" i="17"/>
  <c r="HR13" i="17"/>
  <c r="HS13" i="17"/>
  <c r="HT13" i="17"/>
  <c r="HU13" i="17"/>
  <c r="HV13" i="17"/>
  <c r="HW13" i="17"/>
  <c r="HX13" i="17"/>
  <c r="HY13" i="17"/>
  <c r="HZ13" i="17"/>
  <c r="IA13" i="17"/>
  <c r="IB13" i="17"/>
  <c r="IC13" i="17"/>
  <c r="ID13" i="17"/>
  <c r="IE13" i="17"/>
  <c r="IF13" i="17"/>
  <c r="IG13" i="17"/>
  <c r="IH13" i="17"/>
  <c r="II13" i="17"/>
  <c r="IJ13" i="17"/>
  <c r="IK13" i="17"/>
  <c r="IL13" i="17"/>
  <c r="IM13" i="17"/>
  <c r="IN13" i="17"/>
  <c r="IO13" i="17"/>
  <c r="IP13" i="17"/>
  <c r="IQ13" i="17"/>
  <c r="IR13" i="17"/>
  <c r="IS13" i="17"/>
  <c r="IT13" i="17"/>
  <c r="IU13" i="17"/>
  <c r="IV13" i="17"/>
  <c r="A14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AS14" i="17"/>
  <c r="AT14" i="17"/>
  <c r="AU14" i="17"/>
  <c r="AV14" i="17"/>
  <c r="AW14" i="17"/>
  <c r="AX14" i="17"/>
  <c r="AY14" i="17"/>
  <c r="AZ14" i="17"/>
  <c r="BA14" i="17"/>
  <c r="BB14" i="17"/>
  <c r="BC14" i="17"/>
  <c r="BD14" i="17"/>
  <c r="BE14" i="17"/>
  <c r="BF14" i="17"/>
  <c r="BG14" i="17"/>
  <c r="BH14" i="17"/>
  <c r="BI14" i="17"/>
  <c r="BJ14" i="17"/>
  <c r="BK14" i="17"/>
  <c r="BL14" i="17"/>
  <c r="BM14" i="17"/>
  <c r="BN14" i="17"/>
  <c r="BO14" i="17"/>
  <c r="BP14" i="17"/>
  <c r="BQ14" i="17"/>
  <c r="BR14" i="17"/>
  <c r="BS14" i="17"/>
  <c r="BT14" i="17"/>
  <c r="BU14" i="17"/>
  <c r="BV14" i="17"/>
  <c r="BW14" i="17"/>
  <c r="BX14" i="17"/>
  <c r="BY14" i="17"/>
  <c r="BZ14" i="17"/>
  <c r="CA14" i="17"/>
  <c r="CB14" i="17"/>
  <c r="CC14" i="17"/>
  <c r="CD14" i="17"/>
  <c r="CE14" i="17"/>
  <c r="CF14" i="17"/>
  <c r="CG14" i="17"/>
  <c r="CH14" i="17"/>
  <c r="CI14" i="17"/>
  <c r="CJ14" i="17"/>
  <c r="CK14" i="17"/>
  <c r="CL14" i="17"/>
  <c r="CM14" i="17"/>
  <c r="CN14" i="17"/>
  <c r="CO14" i="17"/>
  <c r="CP14" i="17"/>
  <c r="CQ14" i="17"/>
  <c r="CR14" i="17"/>
  <c r="CS14" i="17"/>
  <c r="CT14" i="17"/>
  <c r="CU14" i="17"/>
  <c r="CV14" i="17"/>
  <c r="CW14" i="17"/>
  <c r="CX14" i="17"/>
  <c r="CY14" i="17"/>
  <c r="CZ14" i="17"/>
  <c r="DA14" i="17"/>
  <c r="DB14" i="17"/>
  <c r="DC14" i="17"/>
  <c r="DD14" i="17"/>
  <c r="DE14" i="17"/>
  <c r="DF14" i="17"/>
  <c r="DG14" i="17"/>
  <c r="DH14" i="17"/>
  <c r="DI14" i="17"/>
  <c r="DJ14" i="17"/>
  <c r="DK14" i="17"/>
  <c r="DL14" i="17"/>
  <c r="DM14" i="17"/>
  <c r="DN14" i="17"/>
  <c r="DO14" i="17"/>
  <c r="DP14" i="17"/>
  <c r="DQ14" i="17"/>
  <c r="DR14" i="17"/>
  <c r="DS14" i="17"/>
  <c r="DT14" i="17"/>
  <c r="DU14" i="17"/>
  <c r="DV14" i="17"/>
  <c r="DW14" i="17"/>
  <c r="DX14" i="17"/>
  <c r="DY14" i="17"/>
  <c r="DZ14" i="17"/>
  <c r="EA14" i="17"/>
  <c r="EB14" i="17"/>
  <c r="EC14" i="17"/>
  <c r="ED14" i="17"/>
  <c r="EE14" i="17"/>
  <c r="EF14" i="17"/>
  <c r="EG14" i="17"/>
  <c r="EH14" i="17"/>
  <c r="EI14" i="17"/>
  <c r="EJ14" i="17"/>
  <c r="EK14" i="17"/>
  <c r="EL14" i="17"/>
  <c r="EM14" i="17"/>
  <c r="EN14" i="17"/>
  <c r="EO14" i="17"/>
  <c r="EP14" i="17"/>
  <c r="EQ14" i="17"/>
  <c r="ER14" i="17"/>
  <c r="ES14" i="17"/>
  <c r="ET14" i="17"/>
  <c r="EU14" i="17"/>
  <c r="EV14" i="17"/>
  <c r="EW14" i="17"/>
  <c r="EX14" i="17"/>
  <c r="EY14" i="17"/>
  <c r="EZ14" i="17"/>
  <c r="FA14" i="17"/>
  <c r="FB14" i="17"/>
  <c r="FC14" i="17"/>
  <c r="FD14" i="17"/>
  <c r="FE14" i="17"/>
  <c r="FF14" i="17"/>
  <c r="FG14" i="17"/>
  <c r="FH14" i="17"/>
  <c r="FI14" i="17"/>
  <c r="FJ14" i="17"/>
  <c r="FK14" i="17"/>
  <c r="FL14" i="17"/>
  <c r="FM14" i="17"/>
  <c r="FN14" i="17"/>
  <c r="FO14" i="17"/>
  <c r="FP14" i="17"/>
  <c r="FQ14" i="17"/>
  <c r="FR14" i="17"/>
  <c r="FS14" i="17"/>
  <c r="FT14" i="17"/>
  <c r="FU14" i="17"/>
  <c r="FV14" i="17"/>
  <c r="FW14" i="17"/>
  <c r="FX14" i="17"/>
  <c r="FY14" i="17"/>
  <c r="FZ14" i="17"/>
  <c r="GA14" i="17"/>
  <c r="GB14" i="17"/>
  <c r="GC14" i="17"/>
  <c r="GD14" i="17"/>
  <c r="GE14" i="17"/>
  <c r="GF14" i="17"/>
  <c r="GG14" i="17"/>
  <c r="GH14" i="17"/>
  <c r="GI14" i="17"/>
  <c r="GJ14" i="17"/>
  <c r="GK14" i="17"/>
  <c r="GL14" i="17"/>
  <c r="GM14" i="17"/>
  <c r="GN14" i="17"/>
  <c r="GO14" i="17"/>
  <c r="GP14" i="17"/>
  <c r="GQ14" i="17"/>
  <c r="GR14" i="17"/>
  <c r="GS14" i="17"/>
  <c r="GT14" i="17"/>
  <c r="GU14" i="17"/>
  <c r="GV14" i="17"/>
  <c r="GW14" i="17"/>
  <c r="GX14" i="17"/>
  <c r="GY14" i="17"/>
  <c r="GZ14" i="17"/>
  <c r="HA14" i="17"/>
  <c r="HB14" i="17"/>
  <c r="HC14" i="17"/>
  <c r="HD14" i="17"/>
  <c r="HE14" i="17"/>
  <c r="HF14" i="17"/>
  <c r="HG14" i="17"/>
  <c r="HH14" i="17"/>
  <c r="HI14" i="17"/>
  <c r="HJ14" i="17"/>
  <c r="HK14" i="17"/>
  <c r="HL14" i="17"/>
  <c r="HM14" i="17"/>
  <c r="HN14" i="17"/>
  <c r="HO14" i="17"/>
  <c r="HP14" i="17"/>
  <c r="HQ14" i="17"/>
  <c r="HR14" i="17"/>
  <c r="HS14" i="17"/>
  <c r="HT14" i="17"/>
  <c r="HU14" i="17"/>
  <c r="HV14" i="17"/>
  <c r="HW14" i="17"/>
  <c r="HX14" i="17"/>
  <c r="HY14" i="17"/>
  <c r="HZ14" i="17"/>
  <c r="IA14" i="17"/>
  <c r="IB14" i="17"/>
  <c r="IC14" i="17"/>
  <c r="ID14" i="17"/>
  <c r="IE14" i="17"/>
  <c r="IF14" i="17"/>
  <c r="IG14" i="17"/>
  <c r="IH14" i="17"/>
  <c r="II14" i="17"/>
  <c r="IJ14" i="17"/>
  <c r="IK14" i="17"/>
  <c r="IL14" i="17"/>
  <c r="IM14" i="17"/>
  <c r="IN14" i="17"/>
  <c r="IO14" i="17"/>
  <c r="IP14" i="17"/>
  <c r="IQ14" i="17"/>
  <c r="IR14" i="17"/>
  <c r="IS14" i="17"/>
  <c r="IT14" i="17"/>
  <c r="IU14" i="17"/>
  <c r="IV14" i="17"/>
  <c r="A15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BC15" i="17"/>
  <c r="BD15" i="17"/>
  <c r="BE15" i="17"/>
  <c r="BF15" i="17"/>
  <c r="BG15" i="17"/>
  <c r="BH15" i="17"/>
  <c r="BI15" i="17"/>
  <c r="BJ15" i="17"/>
  <c r="BK15" i="17"/>
  <c r="BL15" i="17"/>
  <c r="BM15" i="17"/>
  <c r="BN15" i="17"/>
  <c r="BO15" i="17"/>
  <c r="BP15" i="17"/>
  <c r="BQ15" i="17"/>
  <c r="BR15" i="17"/>
  <c r="BS15" i="17"/>
  <c r="BT15" i="17"/>
  <c r="BU15" i="17"/>
  <c r="BV15" i="17"/>
  <c r="BW15" i="17"/>
  <c r="BX15" i="17"/>
  <c r="BY15" i="17"/>
  <c r="BZ15" i="17"/>
  <c r="CA15" i="17"/>
  <c r="CB15" i="17"/>
  <c r="CC15" i="17"/>
  <c r="CD15" i="17"/>
  <c r="CE15" i="17"/>
  <c r="CF15" i="17"/>
  <c r="CG15" i="17"/>
  <c r="CH15" i="17"/>
  <c r="CI15" i="17"/>
  <c r="CJ15" i="17"/>
  <c r="CK15" i="17"/>
  <c r="CL15" i="17"/>
  <c r="CM15" i="17"/>
  <c r="CN15" i="17"/>
  <c r="CO15" i="17"/>
  <c r="CP15" i="17"/>
  <c r="CQ15" i="17"/>
  <c r="CR15" i="17"/>
  <c r="CS15" i="17"/>
  <c r="CT15" i="17"/>
  <c r="CU15" i="17"/>
  <c r="CV15" i="17"/>
  <c r="CW15" i="17"/>
  <c r="CX15" i="17"/>
  <c r="CY15" i="17"/>
  <c r="CZ15" i="17"/>
  <c r="DA15" i="17"/>
  <c r="DB15" i="17"/>
  <c r="DC15" i="17"/>
  <c r="DD15" i="17"/>
  <c r="DE15" i="17"/>
  <c r="DF15" i="17"/>
  <c r="DG15" i="17"/>
  <c r="DH15" i="17"/>
  <c r="DI15" i="17"/>
  <c r="DJ15" i="17"/>
  <c r="DK15" i="17"/>
  <c r="DL15" i="17"/>
  <c r="DM15" i="17"/>
  <c r="DN15" i="17"/>
  <c r="DO15" i="17"/>
  <c r="DP15" i="17"/>
  <c r="DQ15" i="17"/>
  <c r="DR15" i="17"/>
  <c r="DS15" i="17"/>
  <c r="DT15" i="17"/>
  <c r="DU15" i="17"/>
  <c r="DV15" i="17"/>
  <c r="DW15" i="17"/>
  <c r="DX15" i="17"/>
  <c r="DY15" i="17"/>
  <c r="DZ15" i="17"/>
  <c r="EA15" i="17"/>
  <c r="EB15" i="17"/>
  <c r="EC15" i="17"/>
  <c r="ED15" i="17"/>
  <c r="EE15" i="17"/>
  <c r="EF15" i="17"/>
  <c r="EG15" i="17"/>
  <c r="EH15" i="17"/>
  <c r="EI15" i="17"/>
  <c r="EJ15" i="17"/>
  <c r="EK15" i="17"/>
  <c r="EL15" i="17"/>
  <c r="EM15" i="17"/>
  <c r="EN15" i="17"/>
  <c r="EO15" i="17"/>
  <c r="EP15" i="17"/>
  <c r="EQ15" i="17"/>
  <c r="ER15" i="17"/>
  <c r="ES15" i="17"/>
  <c r="ET15" i="17"/>
  <c r="EU15" i="17"/>
  <c r="EV15" i="17"/>
  <c r="EW15" i="17"/>
  <c r="EX15" i="17"/>
  <c r="EY15" i="17"/>
  <c r="EZ15" i="17"/>
  <c r="FA15" i="17"/>
  <c r="FB15" i="17"/>
  <c r="FC15" i="17"/>
  <c r="FD15" i="17"/>
  <c r="FE15" i="17"/>
  <c r="FF15" i="17"/>
  <c r="FG15" i="17"/>
  <c r="FH15" i="17"/>
  <c r="FI15" i="17"/>
  <c r="FJ15" i="17"/>
  <c r="FK15" i="17"/>
  <c r="FL15" i="17"/>
  <c r="FM15" i="17"/>
  <c r="FN15" i="17"/>
  <c r="FO15" i="17"/>
  <c r="FP15" i="17"/>
  <c r="FQ15" i="17"/>
  <c r="FR15" i="17"/>
  <c r="FS15" i="17"/>
  <c r="FT15" i="17"/>
  <c r="FU15" i="17"/>
  <c r="FV15" i="17"/>
  <c r="FW15" i="17"/>
  <c r="FX15" i="17"/>
  <c r="FY15" i="17"/>
  <c r="FZ15" i="17"/>
  <c r="GA15" i="17"/>
  <c r="GB15" i="17"/>
  <c r="GC15" i="17"/>
  <c r="GD15" i="17"/>
  <c r="GE15" i="17"/>
  <c r="GF15" i="17"/>
  <c r="GG15" i="17"/>
  <c r="GH15" i="17"/>
  <c r="GI15" i="17"/>
  <c r="GJ15" i="17"/>
  <c r="GK15" i="17"/>
  <c r="GL15" i="17"/>
  <c r="GM15" i="17"/>
  <c r="GN15" i="17"/>
  <c r="GO15" i="17"/>
  <c r="GP15" i="17"/>
  <c r="GQ15" i="17"/>
  <c r="GR15" i="17"/>
  <c r="GS15" i="17"/>
  <c r="GT15" i="17"/>
  <c r="GU15" i="17"/>
  <c r="GV15" i="17"/>
  <c r="GW15" i="17"/>
  <c r="GX15" i="17"/>
  <c r="GY15" i="17"/>
  <c r="GZ15" i="17"/>
  <c r="HA15" i="17"/>
  <c r="HB15" i="17"/>
  <c r="HC15" i="17"/>
  <c r="HD15" i="17"/>
  <c r="HE15" i="17"/>
  <c r="HF15" i="17"/>
  <c r="HG15" i="17"/>
  <c r="HH15" i="17"/>
  <c r="HI15" i="17"/>
  <c r="HJ15" i="17"/>
  <c r="HK15" i="17"/>
  <c r="HL15" i="17"/>
  <c r="HM15" i="17"/>
  <c r="HN15" i="17"/>
  <c r="HO15" i="17"/>
  <c r="HP15" i="17"/>
  <c r="HQ15" i="17"/>
  <c r="HR15" i="17"/>
  <c r="HS15" i="17"/>
  <c r="HT15" i="17"/>
  <c r="HU15" i="17"/>
  <c r="HV15" i="17"/>
  <c r="HW15" i="17"/>
  <c r="HX15" i="17"/>
  <c r="HY15" i="17"/>
  <c r="HZ15" i="17"/>
  <c r="IA15" i="17"/>
  <c r="IB15" i="17"/>
  <c r="IC15" i="17"/>
  <c r="ID15" i="17"/>
  <c r="IE15" i="17"/>
  <c r="IF15" i="17"/>
  <c r="IG15" i="17"/>
  <c r="IH15" i="17"/>
  <c r="II15" i="17"/>
  <c r="IJ15" i="17"/>
  <c r="IK15" i="17"/>
  <c r="IL15" i="17"/>
  <c r="IM15" i="17"/>
  <c r="IN15" i="17"/>
  <c r="IO15" i="17"/>
  <c r="IP15" i="17"/>
  <c r="IQ15" i="17"/>
  <c r="IR15" i="17"/>
  <c r="IS15" i="17"/>
  <c r="IT15" i="17"/>
  <c r="IU15" i="17"/>
  <c r="IV15" i="17"/>
  <c r="A16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AS16" i="17"/>
  <c r="AT16" i="17"/>
  <c r="AU16" i="17"/>
  <c r="AV16" i="17"/>
  <c r="AW16" i="17"/>
  <c r="AX16" i="17"/>
  <c r="AY16" i="17"/>
  <c r="AZ16" i="17"/>
  <c r="BA16" i="17"/>
  <c r="BB16" i="17"/>
  <c r="BC16" i="17"/>
  <c r="BD16" i="17"/>
  <c r="BE16" i="17"/>
  <c r="BF16" i="17"/>
  <c r="BG16" i="17"/>
  <c r="BH16" i="17"/>
  <c r="BI16" i="17"/>
  <c r="BJ16" i="17"/>
  <c r="BK16" i="17"/>
  <c r="BL16" i="17"/>
  <c r="BM16" i="17"/>
  <c r="BN16" i="17"/>
  <c r="BO16" i="17"/>
  <c r="BP16" i="17"/>
  <c r="BQ16" i="17"/>
  <c r="BR16" i="17"/>
  <c r="BS16" i="17"/>
  <c r="BT16" i="17"/>
  <c r="BU16" i="17"/>
  <c r="BV16" i="17"/>
  <c r="BW16" i="17"/>
  <c r="BX16" i="17"/>
  <c r="BY16" i="17"/>
  <c r="BZ16" i="17"/>
  <c r="CA16" i="17"/>
  <c r="CB16" i="17"/>
  <c r="CC16" i="17"/>
  <c r="CD16" i="17"/>
  <c r="CE16" i="17"/>
  <c r="CF16" i="17"/>
  <c r="CG16" i="17"/>
  <c r="CH16" i="17"/>
  <c r="CI16" i="17"/>
  <c r="CJ16" i="17"/>
  <c r="CK16" i="17"/>
  <c r="CL16" i="17"/>
  <c r="CM16" i="17"/>
  <c r="CN16" i="17"/>
  <c r="CO16" i="17"/>
  <c r="CP16" i="17"/>
  <c r="CQ16" i="17"/>
  <c r="CR16" i="17"/>
  <c r="CS16" i="17"/>
  <c r="CT16" i="17"/>
  <c r="CU16" i="17"/>
  <c r="CV16" i="17"/>
  <c r="CW16" i="17"/>
  <c r="CX16" i="17"/>
  <c r="CY16" i="17"/>
  <c r="CZ16" i="17"/>
  <c r="DA16" i="17"/>
  <c r="DB16" i="17"/>
  <c r="DC16" i="17"/>
  <c r="DD16" i="17"/>
  <c r="DE16" i="17"/>
  <c r="DF16" i="17"/>
  <c r="DG16" i="17"/>
  <c r="DH16" i="17"/>
  <c r="DI16" i="17"/>
  <c r="DJ16" i="17"/>
  <c r="DK16" i="17"/>
  <c r="DL16" i="17"/>
  <c r="DM16" i="17"/>
  <c r="DN16" i="17"/>
  <c r="DO16" i="17"/>
  <c r="DP16" i="17"/>
  <c r="DQ16" i="17"/>
  <c r="DR16" i="17"/>
  <c r="DS16" i="17"/>
  <c r="DT16" i="17"/>
  <c r="DU16" i="17"/>
  <c r="DV16" i="17"/>
  <c r="DW16" i="17"/>
  <c r="DX16" i="17"/>
  <c r="DY16" i="17"/>
  <c r="DZ16" i="17"/>
  <c r="EA16" i="17"/>
  <c r="EB16" i="17"/>
  <c r="EC16" i="17"/>
  <c r="ED16" i="17"/>
  <c r="EE16" i="17"/>
  <c r="EF16" i="17"/>
  <c r="EG16" i="17"/>
  <c r="EH16" i="17"/>
  <c r="EI16" i="17"/>
  <c r="EJ16" i="17"/>
  <c r="EK16" i="17"/>
  <c r="EL16" i="17"/>
  <c r="EM16" i="17"/>
  <c r="EN16" i="17"/>
  <c r="EO16" i="17"/>
  <c r="EP16" i="17"/>
  <c r="EQ16" i="17"/>
  <c r="ER16" i="17"/>
  <c r="ES16" i="17"/>
  <c r="ET16" i="17"/>
  <c r="EU16" i="17"/>
  <c r="EV16" i="17"/>
  <c r="EW16" i="17"/>
  <c r="EX16" i="17"/>
  <c r="EY16" i="17"/>
  <c r="EZ16" i="17"/>
  <c r="FA16" i="17"/>
  <c r="FB16" i="17"/>
  <c r="FC16" i="17"/>
  <c r="FD16" i="17"/>
  <c r="FE16" i="17"/>
  <c r="FF16" i="17"/>
  <c r="FG16" i="17"/>
  <c r="FH16" i="17"/>
  <c r="FI16" i="17"/>
  <c r="FJ16" i="17"/>
  <c r="FK16" i="17"/>
  <c r="FL16" i="17"/>
  <c r="FM16" i="17"/>
  <c r="FN16" i="17"/>
  <c r="FO16" i="17"/>
  <c r="FP16" i="17"/>
  <c r="FQ16" i="17"/>
  <c r="FR16" i="17"/>
  <c r="FS16" i="17"/>
  <c r="FT16" i="17"/>
  <c r="FU16" i="17"/>
  <c r="FV16" i="17"/>
  <c r="FW16" i="17"/>
  <c r="FX16" i="17"/>
  <c r="FY16" i="17"/>
  <c r="FZ16" i="17"/>
  <c r="GA16" i="17"/>
  <c r="GB16" i="17"/>
  <c r="GC16" i="17"/>
  <c r="GD16" i="17"/>
  <c r="GE16" i="17"/>
  <c r="GF16" i="17"/>
  <c r="GG16" i="17"/>
  <c r="GH16" i="17"/>
  <c r="GI16" i="17"/>
  <c r="GJ16" i="17"/>
  <c r="GK16" i="17"/>
  <c r="GL16" i="17"/>
  <c r="GM16" i="17"/>
  <c r="GN16" i="17"/>
  <c r="GO16" i="17"/>
  <c r="GP16" i="17"/>
  <c r="GQ16" i="17"/>
  <c r="GR16" i="17"/>
  <c r="GS16" i="17"/>
  <c r="GT16" i="17"/>
  <c r="GU16" i="17"/>
  <c r="GV16" i="17"/>
  <c r="GW16" i="17"/>
  <c r="GX16" i="17"/>
  <c r="GY16" i="17"/>
  <c r="GZ16" i="17"/>
  <c r="HA16" i="17"/>
  <c r="HB16" i="17"/>
  <c r="HC16" i="17"/>
  <c r="HD16" i="17"/>
  <c r="HE16" i="17"/>
  <c r="HF16" i="17"/>
  <c r="HG16" i="17"/>
  <c r="HH16" i="17"/>
  <c r="HI16" i="17"/>
  <c r="HJ16" i="17"/>
  <c r="HK16" i="17"/>
  <c r="HL16" i="17"/>
  <c r="HM16" i="17"/>
  <c r="HN16" i="17"/>
  <c r="HO16" i="17"/>
  <c r="HP16" i="17"/>
  <c r="HQ16" i="17"/>
  <c r="HR16" i="17"/>
  <c r="HS16" i="17"/>
  <c r="HT16" i="17"/>
  <c r="HU16" i="17"/>
  <c r="HV16" i="17"/>
  <c r="HW16" i="17"/>
  <c r="HX16" i="17"/>
  <c r="HY16" i="17"/>
  <c r="HZ16" i="17"/>
  <c r="IA16" i="17"/>
  <c r="IB16" i="17"/>
  <c r="IC16" i="17"/>
  <c r="ID16" i="17"/>
  <c r="IE16" i="17"/>
  <c r="IF16" i="17"/>
  <c r="IG16" i="17"/>
  <c r="IH16" i="17"/>
  <c r="II16" i="17"/>
  <c r="IJ16" i="17"/>
  <c r="IK16" i="17"/>
  <c r="IL16" i="17"/>
  <c r="IM16" i="17"/>
  <c r="IN16" i="17"/>
  <c r="IO16" i="17"/>
  <c r="IP16" i="17"/>
  <c r="IQ16" i="17"/>
  <c r="IR16" i="17"/>
  <c r="IS16" i="17"/>
  <c r="IT16" i="17"/>
  <c r="IU16" i="17"/>
  <c r="IV16" i="17"/>
  <c r="A17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AS17" i="17"/>
  <c r="AT17" i="17"/>
  <c r="AU17" i="17"/>
  <c r="AV17" i="17"/>
  <c r="AW17" i="17"/>
  <c r="AX17" i="17"/>
  <c r="AY17" i="17"/>
  <c r="AZ17" i="17"/>
  <c r="BA17" i="17"/>
  <c r="BB17" i="17"/>
  <c r="BC17" i="17"/>
  <c r="BD17" i="17"/>
  <c r="BE17" i="17"/>
  <c r="BF17" i="17"/>
  <c r="BG17" i="17"/>
  <c r="BH17" i="17"/>
  <c r="BI17" i="17"/>
  <c r="BJ17" i="17"/>
  <c r="BK17" i="17"/>
  <c r="BL17" i="17"/>
  <c r="BM17" i="17"/>
  <c r="BN17" i="17"/>
  <c r="BO17" i="17"/>
  <c r="BP17" i="17"/>
  <c r="BQ17" i="17"/>
  <c r="BR17" i="17"/>
  <c r="BS17" i="17"/>
  <c r="BT17" i="17"/>
  <c r="BU17" i="17"/>
  <c r="BV17" i="17"/>
  <c r="BW17" i="17"/>
  <c r="BX17" i="17"/>
  <c r="BY17" i="17"/>
  <c r="BZ17" i="17"/>
  <c r="CA17" i="17"/>
  <c r="CB17" i="17"/>
  <c r="CC17" i="17"/>
  <c r="CD17" i="17"/>
  <c r="CE17" i="17"/>
  <c r="CF17" i="17"/>
  <c r="CG17" i="17"/>
  <c r="CH17" i="17"/>
  <c r="CI17" i="17"/>
  <c r="CJ17" i="17"/>
  <c r="CK17" i="17"/>
  <c r="CL17" i="17"/>
  <c r="CM17" i="17"/>
  <c r="CN17" i="17"/>
  <c r="CO17" i="17"/>
  <c r="CP17" i="17"/>
  <c r="CQ17" i="17"/>
  <c r="CR17" i="17"/>
  <c r="CS17" i="17"/>
  <c r="CT17" i="17"/>
  <c r="CU17" i="17"/>
  <c r="CV17" i="17"/>
  <c r="CW17" i="17"/>
  <c r="CX17" i="17"/>
  <c r="CY17" i="17"/>
  <c r="CZ17" i="17"/>
  <c r="DA17" i="17"/>
  <c r="DB17" i="17"/>
  <c r="DC17" i="17"/>
  <c r="DD17" i="17"/>
  <c r="DE17" i="17"/>
  <c r="DF17" i="17"/>
  <c r="DG17" i="17"/>
  <c r="DH17" i="17"/>
  <c r="DI17" i="17"/>
  <c r="DJ17" i="17"/>
  <c r="DK17" i="17"/>
  <c r="DL17" i="17"/>
  <c r="DM17" i="17"/>
  <c r="DN17" i="17"/>
  <c r="DO17" i="17"/>
  <c r="DP17" i="17"/>
  <c r="DQ17" i="17"/>
  <c r="DR17" i="17"/>
  <c r="DS17" i="17"/>
  <c r="DT17" i="17"/>
  <c r="DU17" i="17"/>
  <c r="DV17" i="17"/>
  <c r="DW17" i="17"/>
  <c r="DX17" i="17"/>
  <c r="DY17" i="17"/>
  <c r="DZ17" i="17"/>
  <c r="EA17" i="17"/>
  <c r="EB17" i="17"/>
  <c r="EC17" i="17"/>
  <c r="ED17" i="17"/>
  <c r="EE17" i="17"/>
  <c r="EF17" i="17"/>
  <c r="EG17" i="17"/>
  <c r="EH17" i="17"/>
  <c r="EI17" i="17"/>
  <c r="EJ17" i="17"/>
  <c r="EK17" i="17"/>
  <c r="EL17" i="17"/>
  <c r="EM17" i="17"/>
  <c r="EN17" i="17"/>
  <c r="EO17" i="17"/>
  <c r="EP17" i="17"/>
  <c r="EQ17" i="17"/>
  <c r="ER17" i="17"/>
  <c r="ES17" i="17"/>
  <c r="ET17" i="17"/>
  <c r="EU17" i="17"/>
  <c r="EV17" i="17"/>
  <c r="EW17" i="17"/>
  <c r="EX17" i="17"/>
  <c r="EY17" i="17"/>
  <c r="EZ17" i="17"/>
  <c r="FA17" i="17"/>
  <c r="FB17" i="17"/>
  <c r="FC17" i="17"/>
  <c r="FD17" i="17"/>
  <c r="FE17" i="17"/>
  <c r="FF17" i="17"/>
  <c r="FG17" i="17"/>
  <c r="FH17" i="17"/>
  <c r="FI17" i="17"/>
  <c r="FJ17" i="17"/>
  <c r="FK17" i="17"/>
  <c r="FL17" i="17"/>
  <c r="FM17" i="17"/>
  <c r="FN17" i="17"/>
  <c r="FO17" i="17"/>
  <c r="FP17" i="17"/>
  <c r="FQ17" i="17"/>
  <c r="FR17" i="17"/>
  <c r="FS17" i="17"/>
  <c r="FT17" i="17"/>
  <c r="FU17" i="17"/>
  <c r="FV17" i="17"/>
  <c r="FW17" i="17"/>
  <c r="FX17" i="17"/>
  <c r="FY17" i="17"/>
  <c r="FZ17" i="17"/>
  <c r="GA17" i="17"/>
  <c r="GB17" i="17"/>
  <c r="GC17" i="17"/>
  <c r="GD17" i="17"/>
  <c r="GE17" i="17"/>
  <c r="GF17" i="17"/>
  <c r="GG17" i="17"/>
  <c r="GH17" i="17"/>
  <c r="GI17" i="17"/>
  <c r="GJ17" i="17"/>
  <c r="GK17" i="17"/>
  <c r="GL17" i="17"/>
  <c r="GM17" i="17"/>
  <c r="GN17" i="17"/>
  <c r="GO17" i="17"/>
  <c r="GP17" i="17"/>
  <c r="GQ17" i="17"/>
  <c r="GR17" i="17"/>
  <c r="GS17" i="17"/>
  <c r="GT17" i="17"/>
  <c r="GU17" i="17"/>
  <c r="GV17" i="17"/>
  <c r="GW17" i="17"/>
  <c r="GX17" i="17"/>
  <c r="GY17" i="17"/>
  <c r="GZ17" i="17"/>
  <c r="HA17" i="17"/>
  <c r="HB17" i="17"/>
  <c r="HC17" i="17"/>
  <c r="HD17" i="17"/>
  <c r="HE17" i="17"/>
  <c r="HF17" i="17"/>
  <c r="HG17" i="17"/>
  <c r="HH17" i="17"/>
  <c r="HI17" i="17"/>
  <c r="HJ17" i="17"/>
  <c r="HK17" i="17"/>
  <c r="HL17" i="17"/>
  <c r="HM17" i="17"/>
  <c r="HN17" i="17"/>
  <c r="HO17" i="17"/>
  <c r="HP17" i="17"/>
  <c r="HQ17" i="17"/>
  <c r="HR17" i="17"/>
  <c r="HS17" i="17"/>
  <c r="HT17" i="17"/>
  <c r="HU17" i="17"/>
  <c r="HV17" i="17"/>
  <c r="HW17" i="17"/>
  <c r="HX17" i="17"/>
  <c r="HY17" i="17"/>
  <c r="HZ17" i="17"/>
  <c r="IA17" i="17"/>
  <c r="IB17" i="17"/>
  <c r="IC17" i="17"/>
  <c r="ID17" i="17"/>
  <c r="IE17" i="17"/>
  <c r="IF17" i="17"/>
  <c r="IG17" i="17"/>
  <c r="IH17" i="17"/>
  <c r="II17" i="17"/>
  <c r="IJ17" i="17"/>
  <c r="IK17" i="17"/>
  <c r="IL17" i="17"/>
  <c r="IM17" i="17"/>
  <c r="IN17" i="17"/>
  <c r="IO17" i="17"/>
  <c r="IP17" i="17"/>
  <c r="IQ17" i="17"/>
  <c r="IR17" i="17"/>
  <c r="IS17" i="17"/>
  <c r="IT17" i="17"/>
  <c r="IU17" i="17"/>
  <c r="IV17" i="17"/>
  <c r="A18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AS18" i="17"/>
  <c r="AT18" i="17"/>
  <c r="AU18" i="17"/>
  <c r="AV18" i="17"/>
  <c r="AW18" i="17"/>
  <c r="AX18" i="17"/>
  <c r="AY18" i="17"/>
  <c r="AZ18" i="17"/>
  <c r="BA18" i="17"/>
  <c r="BB18" i="17"/>
  <c r="BC18" i="17"/>
  <c r="BD18" i="17"/>
  <c r="BE18" i="17"/>
  <c r="BF18" i="17"/>
  <c r="BG18" i="17"/>
  <c r="BH18" i="17"/>
  <c r="BI18" i="17"/>
  <c r="BJ18" i="17"/>
  <c r="BK18" i="17"/>
  <c r="BL18" i="17"/>
  <c r="BM18" i="17"/>
  <c r="BN18" i="17"/>
  <c r="BO18" i="17"/>
  <c r="BP18" i="17"/>
  <c r="BQ18" i="17"/>
  <c r="BR18" i="17"/>
  <c r="BS18" i="17"/>
  <c r="BT18" i="17"/>
  <c r="BU18" i="17"/>
  <c r="BV18" i="17"/>
  <c r="BW18" i="17"/>
  <c r="BX18" i="17"/>
  <c r="BY18" i="17"/>
  <c r="BZ18" i="17"/>
  <c r="CA18" i="17"/>
  <c r="CB18" i="17"/>
  <c r="CC18" i="17"/>
  <c r="CD18" i="17"/>
  <c r="CE18" i="17"/>
  <c r="CF18" i="17"/>
  <c r="CG18" i="17"/>
  <c r="CH18" i="17"/>
  <c r="CI18" i="17"/>
  <c r="CJ18" i="17"/>
  <c r="CK18" i="17"/>
  <c r="CL18" i="17"/>
  <c r="CM18" i="17"/>
  <c r="CN18" i="17"/>
  <c r="CO18" i="17"/>
  <c r="CP18" i="17"/>
  <c r="CQ18" i="17"/>
  <c r="CR18" i="17"/>
  <c r="CS18" i="17"/>
  <c r="CT18" i="17"/>
  <c r="CU18" i="17"/>
  <c r="CV18" i="17"/>
  <c r="CW18" i="17"/>
  <c r="CX18" i="17"/>
  <c r="CY18" i="17"/>
  <c r="CZ18" i="17"/>
  <c r="DA18" i="17"/>
  <c r="DB18" i="17"/>
  <c r="DC18" i="17"/>
  <c r="DD18" i="17"/>
  <c r="DE18" i="17"/>
  <c r="DF18" i="17"/>
  <c r="DG18" i="17"/>
  <c r="DH18" i="17"/>
  <c r="DI18" i="17"/>
  <c r="DJ18" i="17"/>
  <c r="DK18" i="17"/>
  <c r="DL18" i="17"/>
  <c r="DM18" i="17"/>
  <c r="DN18" i="17"/>
  <c r="DO18" i="17"/>
  <c r="DP18" i="17"/>
  <c r="DQ18" i="17"/>
  <c r="DR18" i="17"/>
  <c r="DS18" i="17"/>
  <c r="DT18" i="17"/>
  <c r="DU18" i="17"/>
  <c r="DV18" i="17"/>
  <c r="DW18" i="17"/>
  <c r="DX18" i="17"/>
  <c r="DY18" i="17"/>
  <c r="DZ18" i="17"/>
  <c r="EA18" i="17"/>
  <c r="EB18" i="17"/>
  <c r="EC18" i="17"/>
  <c r="ED18" i="17"/>
  <c r="EE18" i="17"/>
  <c r="EF18" i="17"/>
  <c r="EG18" i="17"/>
  <c r="EH18" i="17"/>
  <c r="EI18" i="17"/>
  <c r="EJ18" i="17"/>
  <c r="EK18" i="17"/>
  <c r="EL18" i="17"/>
  <c r="EM18" i="17"/>
  <c r="EN18" i="17"/>
  <c r="EO18" i="17"/>
  <c r="EP18" i="17"/>
  <c r="EQ18" i="17"/>
  <c r="ER18" i="17"/>
  <c r="ES18" i="17"/>
  <c r="ET18" i="17"/>
  <c r="EU18" i="17"/>
  <c r="EV18" i="17"/>
  <c r="EW18" i="17"/>
  <c r="EX18" i="17"/>
  <c r="EY18" i="17"/>
  <c r="EZ18" i="17"/>
  <c r="FA18" i="17"/>
  <c r="FB18" i="17"/>
  <c r="FC18" i="17"/>
  <c r="FD18" i="17"/>
  <c r="FE18" i="17"/>
  <c r="FF18" i="17"/>
  <c r="FG18" i="17"/>
  <c r="FH18" i="17"/>
  <c r="FI18" i="17"/>
  <c r="FJ18" i="17"/>
  <c r="FK18" i="17"/>
  <c r="FL18" i="17"/>
  <c r="FM18" i="17"/>
  <c r="FN18" i="17"/>
  <c r="FO18" i="17"/>
  <c r="FP18" i="17"/>
  <c r="FQ18" i="17"/>
  <c r="FR18" i="17"/>
  <c r="FS18" i="17"/>
  <c r="FT18" i="17"/>
  <c r="FU18" i="17"/>
  <c r="FV18" i="17"/>
  <c r="FW18" i="17"/>
  <c r="FX18" i="17"/>
  <c r="FY18" i="17"/>
  <c r="FZ18" i="17"/>
  <c r="GA18" i="17"/>
  <c r="GB18" i="17"/>
  <c r="GC18" i="17"/>
  <c r="GD18" i="17"/>
  <c r="GE18" i="17"/>
  <c r="GF18" i="17"/>
  <c r="GG18" i="17"/>
  <c r="GH18" i="17"/>
  <c r="GI18" i="17"/>
  <c r="GJ18" i="17"/>
  <c r="GK18" i="17"/>
  <c r="GL18" i="17"/>
  <c r="GM18" i="17"/>
  <c r="GN18" i="17"/>
  <c r="GO18" i="17"/>
  <c r="GP18" i="17"/>
  <c r="GQ18" i="17"/>
  <c r="GR18" i="17"/>
  <c r="GS18" i="17"/>
  <c r="GT18" i="17"/>
  <c r="GU18" i="17"/>
  <c r="GV18" i="17"/>
  <c r="GW18" i="17"/>
  <c r="GX18" i="17"/>
  <c r="GY18" i="17"/>
  <c r="GZ18" i="17"/>
  <c r="HA18" i="17"/>
  <c r="HB18" i="17"/>
  <c r="HC18" i="17"/>
  <c r="HD18" i="17"/>
  <c r="HE18" i="17"/>
  <c r="HF18" i="17"/>
  <c r="HG18" i="17"/>
  <c r="HH18" i="17"/>
  <c r="HI18" i="17"/>
  <c r="HJ18" i="17"/>
  <c r="HK18" i="17"/>
  <c r="HL18" i="17"/>
  <c r="HM18" i="17"/>
  <c r="HN18" i="17"/>
  <c r="HO18" i="17"/>
  <c r="HP18" i="17"/>
  <c r="HQ18" i="17"/>
  <c r="HR18" i="17"/>
  <c r="HS18" i="17"/>
  <c r="HT18" i="17"/>
  <c r="HU18" i="17"/>
  <c r="HV18" i="17"/>
  <c r="HW18" i="17"/>
  <c r="HX18" i="17"/>
  <c r="HY18" i="17"/>
  <c r="HZ18" i="17"/>
  <c r="IA18" i="17"/>
  <c r="IB18" i="17"/>
  <c r="IC18" i="17"/>
  <c r="ID18" i="17"/>
  <c r="IE18" i="17"/>
  <c r="IF18" i="17"/>
  <c r="IG18" i="17"/>
  <c r="IH18" i="17"/>
  <c r="II18" i="17"/>
  <c r="IJ18" i="17"/>
  <c r="IK18" i="17"/>
  <c r="IL18" i="17"/>
  <c r="IM18" i="17"/>
  <c r="IN18" i="17"/>
  <c r="IO18" i="17"/>
  <c r="IP18" i="17"/>
  <c r="IQ18" i="17"/>
  <c r="IR18" i="17"/>
  <c r="IS18" i="17"/>
  <c r="IT18" i="17"/>
  <c r="IU18" i="17"/>
  <c r="IV18" i="17"/>
  <c r="A19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AB19" i="17"/>
  <c r="AC19" i="17"/>
  <c r="AD19" i="17"/>
  <c r="AE19" i="17"/>
  <c r="AF19" i="17"/>
  <c r="AG19" i="17"/>
  <c r="AH19" i="17"/>
  <c r="AI19" i="17"/>
  <c r="AJ19" i="17"/>
  <c r="AK19" i="17"/>
  <c r="AL19" i="17"/>
  <c r="AM19" i="17"/>
  <c r="AN19" i="17"/>
  <c r="AO19" i="17"/>
  <c r="AP19" i="17"/>
  <c r="AQ19" i="17"/>
  <c r="AR19" i="17"/>
  <c r="AS19" i="17"/>
  <c r="AT19" i="17"/>
  <c r="AU19" i="17"/>
  <c r="AV19" i="17"/>
  <c r="AW19" i="17"/>
  <c r="AX19" i="17"/>
  <c r="AY19" i="17"/>
  <c r="AZ19" i="17"/>
  <c r="BA19" i="17"/>
  <c r="BB19" i="17"/>
  <c r="BC19" i="17"/>
  <c r="BD19" i="17"/>
  <c r="BE19" i="17"/>
  <c r="BF19" i="17"/>
  <c r="BG19" i="17"/>
  <c r="BH19" i="17"/>
  <c r="BI19" i="17"/>
  <c r="BJ19" i="17"/>
  <c r="BK19" i="17"/>
  <c r="BL19" i="17"/>
  <c r="BM19" i="17"/>
  <c r="BN19" i="17"/>
  <c r="BO19" i="17"/>
  <c r="BP19" i="17"/>
  <c r="BQ19" i="17"/>
  <c r="BR19" i="17"/>
  <c r="BS19" i="17"/>
  <c r="BT19" i="17"/>
  <c r="BU19" i="17"/>
  <c r="BV19" i="17"/>
  <c r="BW19" i="17"/>
  <c r="BX19" i="17"/>
  <c r="BY19" i="17"/>
  <c r="BZ19" i="17"/>
  <c r="CA19" i="17"/>
  <c r="CB19" i="17"/>
  <c r="CC19" i="17"/>
  <c r="CD19" i="17"/>
  <c r="CE19" i="17"/>
  <c r="CF19" i="17"/>
  <c r="CG19" i="17"/>
  <c r="CH19" i="17"/>
  <c r="CI19" i="17"/>
  <c r="CJ19" i="17"/>
  <c r="CK19" i="17"/>
  <c r="CL19" i="17"/>
  <c r="CM19" i="17"/>
  <c r="CN19" i="17"/>
  <c r="CO19" i="17"/>
  <c r="CP19" i="17"/>
  <c r="CQ19" i="17"/>
  <c r="CR19" i="17"/>
  <c r="CS19" i="17"/>
  <c r="CT19" i="17"/>
  <c r="CU19" i="17"/>
  <c r="CV19" i="17"/>
  <c r="CW19" i="17"/>
  <c r="CX19" i="17"/>
  <c r="CY19" i="17"/>
  <c r="CZ19" i="17"/>
  <c r="DA19" i="17"/>
  <c r="DB19" i="17"/>
  <c r="DC19" i="17"/>
  <c r="DD19" i="17"/>
  <c r="DE19" i="17"/>
  <c r="DF19" i="17"/>
  <c r="DG19" i="17"/>
  <c r="DH19" i="17"/>
  <c r="DI19" i="17"/>
  <c r="DJ19" i="17"/>
  <c r="DK19" i="17"/>
  <c r="DL19" i="17"/>
  <c r="DM19" i="17"/>
  <c r="DN19" i="17"/>
  <c r="DO19" i="17"/>
  <c r="DP19" i="17"/>
  <c r="DQ19" i="17"/>
  <c r="DR19" i="17"/>
  <c r="DS19" i="17"/>
  <c r="DT19" i="17"/>
  <c r="DU19" i="17"/>
  <c r="DV19" i="17"/>
  <c r="DW19" i="17"/>
  <c r="DX19" i="17"/>
  <c r="DY19" i="17"/>
  <c r="DZ19" i="17"/>
  <c r="EA19" i="17"/>
  <c r="EB19" i="17"/>
  <c r="EC19" i="17"/>
  <c r="ED19" i="17"/>
  <c r="EE19" i="17"/>
  <c r="EF19" i="17"/>
  <c r="EG19" i="17"/>
  <c r="EH19" i="17"/>
  <c r="EI19" i="17"/>
  <c r="EJ19" i="17"/>
  <c r="EK19" i="17"/>
  <c r="EL19" i="17"/>
  <c r="EM19" i="17"/>
  <c r="EN19" i="17"/>
  <c r="EO19" i="17"/>
  <c r="EP19" i="17"/>
  <c r="EQ19" i="17"/>
  <c r="ER19" i="17"/>
  <c r="ES19" i="17"/>
  <c r="ET19" i="17"/>
  <c r="EU19" i="17"/>
  <c r="EV19" i="17"/>
  <c r="EW19" i="17"/>
  <c r="EX19" i="17"/>
  <c r="EY19" i="17"/>
  <c r="EZ19" i="17"/>
  <c r="FA19" i="17"/>
  <c r="FB19" i="17"/>
  <c r="FC19" i="17"/>
  <c r="FD19" i="17"/>
  <c r="FE19" i="17"/>
  <c r="FF19" i="17"/>
  <c r="FG19" i="17"/>
  <c r="FH19" i="17"/>
  <c r="FI19" i="17"/>
  <c r="FJ19" i="17"/>
  <c r="FK19" i="17"/>
  <c r="FL19" i="17"/>
  <c r="FM19" i="17"/>
  <c r="FN19" i="17"/>
  <c r="FO19" i="17"/>
  <c r="FP19" i="17"/>
  <c r="FQ19" i="17"/>
  <c r="FR19" i="17"/>
  <c r="FS19" i="17"/>
  <c r="FT19" i="17"/>
  <c r="FU19" i="17"/>
  <c r="FV19" i="17"/>
  <c r="FW19" i="17"/>
  <c r="FX19" i="17"/>
  <c r="FY19" i="17"/>
  <c r="FZ19" i="17"/>
  <c r="GA19" i="17"/>
  <c r="GB19" i="17"/>
  <c r="GC19" i="17"/>
  <c r="GD19" i="17"/>
  <c r="GE19" i="17"/>
  <c r="GF19" i="17"/>
  <c r="GG19" i="17"/>
  <c r="GH19" i="17"/>
  <c r="GI19" i="17"/>
  <c r="GJ19" i="17"/>
  <c r="GK19" i="17"/>
  <c r="GL19" i="17"/>
  <c r="GM19" i="17"/>
  <c r="GN19" i="17"/>
  <c r="GO19" i="17"/>
  <c r="GP19" i="17"/>
  <c r="GQ19" i="17"/>
  <c r="GR19" i="17"/>
  <c r="GS19" i="17"/>
  <c r="GT19" i="17"/>
  <c r="GU19" i="17"/>
  <c r="GV19" i="17"/>
  <c r="GW19" i="17"/>
  <c r="GX19" i="17"/>
  <c r="GY19" i="17"/>
  <c r="GZ19" i="17"/>
  <c r="HA19" i="17"/>
  <c r="HB19" i="17"/>
  <c r="HC19" i="17"/>
  <c r="HD19" i="17"/>
  <c r="HE19" i="17"/>
  <c r="HF19" i="17"/>
  <c r="HG19" i="17"/>
  <c r="HH19" i="17"/>
  <c r="HI19" i="17"/>
  <c r="HJ19" i="17"/>
  <c r="HK19" i="17"/>
  <c r="HL19" i="17"/>
  <c r="HM19" i="17"/>
  <c r="HN19" i="17"/>
  <c r="HO19" i="17"/>
  <c r="HP19" i="17"/>
  <c r="HQ19" i="17"/>
  <c r="HR19" i="17"/>
  <c r="HS19" i="17"/>
  <c r="HT19" i="17"/>
  <c r="HU19" i="17"/>
  <c r="HV19" i="17"/>
  <c r="HW19" i="17"/>
  <c r="HX19" i="17"/>
  <c r="HY19" i="17"/>
  <c r="HZ19" i="17"/>
  <c r="IA19" i="17"/>
  <c r="IB19" i="17"/>
  <c r="IC19" i="17"/>
  <c r="ID19" i="17"/>
  <c r="IE19" i="17"/>
  <c r="IF19" i="17"/>
  <c r="IG19" i="17"/>
  <c r="IH19" i="17"/>
  <c r="II19" i="17"/>
  <c r="IJ19" i="17"/>
  <c r="IK19" i="17"/>
  <c r="IL19" i="17"/>
  <c r="IM19" i="17"/>
  <c r="IN19" i="17"/>
  <c r="IO19" i="17"/>
  <c r="IP19" i="17"/>
  <c r="IQ19" i="17"/>
  <c r="IR19" i="17"/>
  <c r="IS19" i="17"/>
  <c r="IT19" i="17"/>
  <c r="IU19" i="17"/>
  <c r="IV19" i="17"/>
  <c r="A20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AS20" i="17"/>
  <c r="AT20" i="17"/>
  <c r="AU20" i="17"/>
  <c r="AV20" i="17"/>
  <c r="AW20" i="17"/>
  <c r="AX20" i="17"/>
  <c r="AY20" i="17"/>
  <c r="AZ20" i="17"/>
  <c r="BA20" i="17"/>
  <c r="BB20" i="17"/>
  <c r="BC20" i="17"/>
  <c r="BD20" i="17"/>
  <c r="BE20" i="17"/>
  <c r="BF20" i="17"/>
  <c r="BG20" i="17"/>
  <c r="BH20" i="17"/>
  <c r="BI20" i="17"/>
  <c r="BJ20" i="17"/>
  <c r="BK20" i="17"/>
  <c r="BL20" i="17"/>
  <c r="BM20" i="17"/>
  <c r="BN20" i="17"/>
  <c r="BO20" i="17"/>
  <c r="BP20" i="17"/>
  <c r="BQ20" i="17"/>
  <c r="BR20" i="17"/>
  <c r="BS20" i="17"/>
  <c r="BT20" i="17"/>
  <c r="BU20" i="17"/>
  <c r="BV20" i="17"/>
  <c r="BW20" i="17"/>
  <c r="BX20" i="17"/>
  <c r="BY20" i="17"/>
  <c r="BZ20" i="17"/>
  <c r="CA20" i="17"/>
  <c r="CB20" i="17"/>
  <c r="CC20" i="17"/>
  <c r="CD20" i="17"/>
  <c r="CE20" i="17"/>
  <c r="CF20" i="17"/>
  <c r="CG20" i="17"/>
  <c r="CH20" i="17"/>
  <c r="CI20" i="17"/>
  <c r="CJ20" i="17"/>
  <c r="CK20" i="17"/>
  <c r="CL20" i="17"/>
  <c r="CM20" i="17"/>
  <c r="CN20" i="17"/>
  <c r="CO20" i="17"/>
  <c r="CP20" i="17"/>
  <c r="CQ20" i="17"/>
  <c r="CR20" i="17"/>
  <c r="CS20" i="17"/>
  <c r="CT20" i="17"/>
  <c r="CU20" i="17"/>
  <c r="CV20" i="17"/>
  <c r="CW20" i="17"/>
  <c r="CX20" i="17"/>
  <c r="CY20" i="17"/>
  <c r="CZ20" i="17"/>
  <c r="DA20" i="17"/>
  <c r="DB20" i="17"/>
  <c r="DC20" i="17"/>
  <c r="DD20" i="17"/>
  <c r="DE20" i="17"/>
  <c r="DF20" i="17"/>
  <c r="DG20" i="17"/>
  <c r="DH20" i="17"/>
  <c r="DI20" i="17"/>
  <c r="DJ20" i="17"/>
  <c r="DK20" i="17"/>
  <c r="DL20" i="17"/>
  <c r="DM20" i="17"/>
  <c r="DN20" i="17"/>
  <c r="DO20" i="17"/>
  <c r="DP20" i="17"/>
  <c r="DQ20" i="17"/>
  <c r="DR20" i="17"/>
  <c r="DS20" i="17"/>
  <c r="DT20" i="17"/>
  <c r="DU20" i="17"/>
  <c r="DV20" i="17"/>
  <c r="DW20" i="17"/>
  <c r="DX20" i="17"/>
  <c r="DY20" i="17"/>
  <c r="DZ20" i="17"/>
  <c r="EA20" i="17"/>
  <c r="EB20" i="17"/>
  <c r="EC20" i="17"/>
  <c r="ED20" i="17"/>
  <c r="EE20" i="17"/>
  <c r="EF20" i="17"/>
  <c r="EG20" i="17"/>
  <c r="EH20" i="17"/>
  <c r="EI20" i="17"/>
  <c r="EJ20" i="17"/>
  <c r="EK20" i="17"/>
  <c r="EL20" i="17"/>
  <c r="EM20" i="17"/>
  <c r="EN20" i="17"/>
  <c r="EO20" i="17"/>
  <c r="EP20" i="17"/>
  <c r="EQ20" i="17"/>
  <c r="ER20" i="17"/>
  <c r="ES20" i="17"/>
  <c r="ET20" i="17"/>
  <c r="EU20" i="17"/>
  <c r="EV20" i="17"/>
  <c r="EW20" i="17"/>
  <c r="EX20" i="17"/>
  <c r="EY20" i="17"/>
  <c r="EZ20" i="17"/>
  <c r="FA20" i="17"/>
  <c r="FB20" i="17"/>
  <c r="FC20" i="17"/>
  <c r="FD20" i="17"/>
  <c r="FE20" i="17"/>
  <c r="FF20" i="17"/>
  <c r="FG20" i="17"/>
  <c r="FH20" i="17"/>
  <c r="FI20" i="17"/>
  <c r="FJ20" i="17"/>
  <c r="FK20" i="17"/>
  <c r="FL20" i="17"/>
  <c r="FM20" i="17"/>
  <c r="FN20" i="17"/>
  <c r="FO20" i="17"/>
  <c r="FP20" i="17"/>
  <c r="FQ20" i="17"/>
  <c r="FR20" i="17"/>
  <c r="FS20" i="17"/>
  <c r="FT20" i="17"/>
  <c r="FU20" i="17"/>
  <c r="FV20" i="17"/>
  <c r="FW20" i="17"/>
  <c r="FX20" i="17"/>
  <c r="FY20" i="17"/>
  <c r="FZ20" i="17"/>
  <c r="GA20" i="17"/>
  <c r="GB20" i="17"/>
  <c r="GC20" i="17"/>
  <c r="GD20" i="17"/>
  <c r="GE20" i="17"/>
  <c r="GF20" i="17"/>
  <c r="GG20" i="17"/>
  <c r="GH20" i="17"/>
  <c r="GI20" i="17"/>
  <c r="GJ20" i="17"/>
  <c r="GK20" i="17"/>
  <c r="GL20" i="17"/>
  <c r="GM20" i="17"/>
  <c r="GN20" i="17"/>
  <c r="GO20" i="17"/>
  <c r="GP20" i="17"/>
  <c r="GQ20" i="17"/>
  <c r="GR20" i="17"/>
  <c r="GS20" i="17"/>
  <c r="GT20" i="17"/>
  <c r="GU20" i="17"/>
  <c r="GV20" i="17"/>
  <c r="GW20" i="17"/>
  <c r="GX20" i="17"/>
  <c r="GY20" i="17"/>
  <c r="GZ20" i="17"/>
  <c r="HA20" i="17"/>
  <c r="HB20" i="17"/>
  <c r="HC20" i="17"/>
  <c r="HD20" i="17"/>
  <c r="HE20" i="17"/>
  <c r="HF20" i="17"/>
  <c r="HG20" i="17"/>
  <c r="HH20" i="17"/>
  <c r="HI20" i="17"/>
  <c r="HJ20" i="17"/>
  <c r="HK20" i="17"/>
  <c r="HL20" i="17"/>
  <c r="HM20" i="17"/>
  <c r="HN20" i="17"/>
  <c r="HO20" i="17"/>
  <c r="HP20" i="17"/>
  <c r="HQ20" i="17"/>
  <c r="HR20" i="17"/>
  <c r="HS20" i="17"/>
  <c r="HT20" i="17"/>
  <c r="HU20" i="17"/>
  <c r="HV20" i="17"/>
  <c r="HW20" i="17"/>
  <c r="HX20" i="17"/>
  <c r="HY20" i="17"/>
  <c r="HZ20" i="17"/>
  <c r="IA20" i="17"/>
  <c r="IB20" i="17"/>
  <c r="IC20" i="17"/>
  <c r="ID20" i="17"/>
  <c r="IE20" i="17"/>
  <c r="IF20" i="17"/>
  <c r="IG20" i="17"/>
  <c r="IH20" i="17"/>
  <c r="II20" i="17"/>
  <c r="IJ20" i="17"/>
  <c r="IK20" i="17"/>
  <c r="IL20" i="17"/>
  <c r="IM20" i="17"/>
  <c r="IN20" i="17"/>
  <c r="IO20" i="17"/>
  <c r="IP20" i="17"/>
  <c r="IQ20" i="17"/>
  <c r="IR20" i="17"/>
  <c r="IS20" i="17"/>
  <c r="IT20" i="17"/>
  <c r="IU20" i="17"/>
  <c r="IV20" i="17"/>
  <c r="A21" i="17"/>
  <c r="B21" i="17"/>
  <c r="C21" i="17"/>
  <c r="D21" i="17"/>
  <c r="E21" i="17"/>
  <c r="F21" i="17"/>
  <c r="G21" i="17"/>
  <c r="H21" i="17"/>
  <c r="I21" i="17"/>
  <c r="J21" i="17"/>
  <c r="K21" i="17"/>
  <c r="L21" i="17"/>
  <c r="O21" i="17"/>
  <c r="P21" i="17"/>
  <c r="A22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AS22" i="17"/>
  <c r="AT22" i="17"/>
  <c r="AU22" i="17"/>
  <c r="AV22" i="17"/>
  <c r="AW22" i="17"/>
  <c r="AX22" i="17"/>
  <c r="AY22" i="17"/>
  <c r="AZ22" i="17"/>
  <c r="BA22" i="17"/>
  <c r="BB22" i="17"/>
  <c r="BC22" i="17"/>
  <c r="BD22" i="17"/>
  <c r="BE22" i="17"/>
  <c r="BF22" i="17"/>
  <c r="BG22" i="17"/>
  <c r="BH22" i="17"/>
  <c r="BI22" i="17"/>
  <c r="BJ22" i="17"/>
  <c r="BK22" i="17"/>
  <c r="BL22" i="17"/>
  <c r="BM22" i="17"/>
  <c r="BN22" i="17"/>
  <c r="BO22" i="17"/>
  <c r="BP22" i="17"/>
  <c r="BQ22" i="17"/>
  <c r="BR22" i="17"/>
  <c r="BS22" i="17"/>
  <c r="BT22" i="17"/>
  <c r="BU22" i="17"/>
  <c r="BV22" i="17"/>
  <c r="BW22" i="17"/>
  <c r="BX22" i="17"/>
  <c r="BY22" i="17"/>
  <c r="BZ22" i="17"/>
  <c r="CA22" i="17"/>
  <c r="CB22" i="17"/>
  <c r="CC22" i="17"/>
  <c r="CD22" i="17"/>
  <c r="CE22" i="17"/>
  <c r="CF22" i="17"/>
  <c r="CG22" i="17"/>
  <c r="CH22" i="17"/>
  <c r="CI22" i="17"/>
  <c r="CJ22" i="17"/>
  <c r="CK22" i="17"/>
  <c r="CL22" i="17"/>
  <c r="CM22" i="17"/>
  <c r="CN22" i="17"/>
  <c r="CO22" i="17"/>
  <c r="CP22" i="17"/>
  <c r="CQ22" i="17"/>
  <c r="CR22" i="17"/>
  <c r="CS22" i="17"/>
  <c r="CT22" i="17"/>
  <c r="CU22" i="17"/>
  <c r="CV22" i="17"/>
  <c r="CW22" i="17"/>
  <c r="CX22" i="17"/>
  <c r="CY22" i="17"/>
  <c r="CZ22" i="17"/>
  <c r="DA22" i="17"/>
  <c r="DB22" i="17"/>
  <c r="DC22" i="17"/>
  <c r="DD22" i="17"/>
  <c r="DE22" i="17"/>
  <c r="DF22" i="17"/>
  <c r="DG22" i="17"/>
  <c r="DH22" i="17"/>
  <c r="DI22" i="17"/>
  <c r="DJ22" i="17"/>
  <c r="DK22" i="17"/>
  <c r="DL22" i="17"/>
  <c r="DM22" i="17"/>
  <c r="DN22" i="17"/>
  <c r="DO22" i="17"/>
  <c r="DP22" i="17"/>
  <c r="DQ22" i="17"/>
  <c r="DR22" i="17"/>
  <c r="DS22" i="17"/>
  <c r="DT22" i="17"/>
  <c r="DU22" i="17"/>
  <c r="DV22" i="17"/>
  <c r="DW22" i="17"/>
  <c r="DX22" i="17"/>
  <c r="DY22" i="17"/>
  <c r="DZ22" i="17"/>
  <c r="EA22" i="17"/>
  <c r="EB22" i="17"/>
  <c r="EC22" i="17"/>
  <c r="ED22" i="17"/>
  <c r="EE22" i="17"/>
  <c r="EF22" i="17"/>
  <c r="EG22" i="17"/>
  <c r="EH22" i="17"/>
  <c r="EI22" i="17"/>
  <c r="EJ22" i="17"/>
  <c r="EK22" i="17"/>
  <c r="EL22" i="17"/>
  <c r="EM22" i="17"/>
  <c r="EN22" i="17"/>
  <c r="EO22" i="17"/>
  <c r="EP22" i="17"/>
  <c r="EQ22" i="17"/>
  <c r="ER22" i="17"/>
  <c r="ES22" i="17"/>
  <c r="ET22" i="17"/>
  <c r="EU22" i="17"/>
  <c r="EV22" i="17"/>
  <c r="FA22" i="17"/>
  <c r="FB22" i="17"/>
  <c r="FC22" i="17"/>
  <c r="FD22" i="17"/>
  <c r="FE22" i="17"/>
  <c r="FF22" i="17"/>
  <c r="FG22" i="17"/>
  <c r="FH22" i="17"/>
  <c r="FI22" i="17"/>
  <c r="FJ22" i="17"/>
  <c r="FK22" i="17"/>
  <c r="FL22" i="17"/>
  <c r="FM22" i="17"/>
  <c r="FN22" i="17"/>
  <c r="FO22" i="17"/>
  <c r="FP22" i="17"/>
  <c r="FQ22" i="17"/>
  <c r="FR22" i="17"/>
  <c r="FS22" i="17"/>
  <c r="FT22" i="17"/>
  <c r="FU22" i="17"/>
  <c r="FV22" i="17"/>
  <c r="FW22" i="17"/>
  <c r="FX22" i="17"/>
  <c r="FY22" i="17"/>
  <c r="FZ22" i="17"/>
  <c r="GA22" i="17"/>
  <c r="GB22" i="17"/>
  <c r="GC22" i="17"/>
  <c r="GD22" i="17"/>
  <c r="GE22" i="17"/>
  <c r="GF22" i="17"/>
  <c r="GG22" i="17"/>
  <c r="GH22" i="17"/>
  <c r="GI22" i="17"/>
  <c r="GJ22" i="17"/>
  <c r="GK22" i="17"/>
  <c r="GL22" i="17"/>
  <c r="GM22" i="17"/>
  <c r="GN22" i="17"/>
  <c r="GO22" i="17"/>
  <c r="GP22" i="17"/>
  <c r="GQ22" i="17"/>
  <c r="GR22" i="17"/>
  <c r="GS22" i="17"/>
  <c r="GT22" i="17"/>
  <c r="GU22" i="17"/>
  <c r="GV22" i="17"/>
  <c r="GW22" i="17"/>
  <c r="GX22" i="17"/>
  <c r="GY22" i="17"/>
  <c r="GZ22" i="17"/>
  <c r="HA22" i="17"/>
  <c r="HB22" i="17"/>
  <c r="HC22" i="17"/>
  <c r="HD22" i="17"/>
  <c r="HE22" i="17"/>
  <c r="HF22" i="17"/>
  <c r="HG22" i="17"/>
  <c r="HH22" i="17"/>
  <c r="HI22" i="17"/>
  <c r="HJ22" i="17"/>
  <c r="HK22" i="17"/>
  <c r="HL22" i="17"/>
  <c r="HM22" i="17"/>
  <c r="HN22" i="17"/>
  <c r="HO22" i="17"/>
  <c r="HP22" i="17"/>
  <c r="HQ22" i="17"/>
  <c r="HR22" i="17"/>
  <c r="HS22" i="17"/>
  <c r="HT22" i="17"/>
  <c r="HU22" i="17"/>
  <c r="HV22" i="17"/>
  <c r="HW22" i="17"/>
  <c r="HX22" i="17"/>
  <c r="HY22" i="17"/>
  <c r="HZ22" i="17"/>
  <c r="IA22" i="17"/>
  <c r="IB22" i="17"/>
  <c r="IC22" i="17"/>
  <c r="ID22" i="17"/>
  <c r="IE22" i="17"/>
  <c r="IF22" i="17"/>
  <c r="IG22" i="17"/>
  <c r="IH22" i="17"/>
  <c r="II22" i="17"/>
  <c r="IJ22" i="17"/>
  <c r="IK22" i="17"/>
  <c r="IL22" i="17"/>
  <c r="IM22" i="17"/>
  <c r="IN22" i="17"/>
  <c r="IO22" i="17"/>
  <c r="IP22" i="17"/>
  <c r="IQ22" i="17"/>
  <c r="IR22" i="17"/>
  <c r="IS22" i="17"/>
  <c r="IT22" i="17"/>
  <c r="IU22" i="17"/>
  <c r="IV22" i="17"/>
  <c r="A23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O23" i="17"/>
  <c r="P23" i="17"/>
  <c r="Q23" i="17"/>
  <c r="R23" i="17"/>
  <c r="S23" i="17"/>
  <c r="T23" i="17"/>
  <c r="U23" i="17"/>
  <c r="V23" i="17"/>
  <c r="W23" i="17"/>
  <c r="X23" i="17"/>
  <c r="Y23" i="17"/>
  <c r="Z23" i="17"/>
  <c r="AA23" i="17"/>
  <c r="AB23" i="17"/>
  <c r="AC23" i="17"/>
  <c r="AD23" i="17"/>
  <c r="AE23" i="17"/>
  <c r="AF23" i="17"/>
  <c r="AG23" i="17"/>
  <c r="AH23" i="17"/>
  <c r="AI23" i="17"/>
  <c r="AJ23" i="17"/>
  <c r="AK23" i="17"/>
  <c r="AL23" i="17"/>
  <c r="AM23" i="17"/>
  <c r="AN23" i="17"/>
  <c r="AO23" i="17"/>
  <c r="AP23" i="17"/>
  <c r="AQ23" i="17"/>
  <c r="AR23" i="17"/>
  <c r="AS23" i="17"/>
  <c r="AT23" i="17"/>
  <c r="AU23" i="17"/>
  <c r="AV23" i="17"/>
  <c r="AW23" i="17"/>
  <c r="AX23" i="17"/>
  <c r="AY23" i="17"/>
  <c r="AZ23" i="17"/>
  <c r="BA23" i="17"/>
  <c r="BB23" i="17"/>
  <c r="BC23" i="17"/>
  <c r="BD23" i="17"/>
  <c r="BE23" i="17"/>
  <c r="BF23" i="17"/>
  <c r="BG23" i="17"/>
  <c r="BH23" i="17"/>
  <c r="BI23" i="17"/>
  <c r="BJ23" i="17"/>
  <c r="BK23" i="17"/>
  <c r="BL23" i="17"/>
  <c r="BM23" i="17"/>
  <c r="BN23" i="17"/>
  <c r="BO23" i="17"/>
  <c r="BP23" i="17"/>
  <c r="BQ23" i="17"/>
  <c r="BR23" i="17"/>
  <c r="BS23" i="17"/>
  <c r="BT23" i="17"/>
  <c r="BU23" i="17"/>
  <c r="BV23" i="17"/>
  <c r="BW23" i="17"/>
  <c r="BX23" i="17"/>
  <c r="BY23" i="17"/>
  <c r="BZ23" i="17"/>
  <c r="CA23" i="17"/>
  <c r="CB23" i="17"/>
  <c r="CC23" i="17"/>
  <c r="CD23" i="17"/>
  <c r="CE23" i="17"/>
  <c r="CF23" i="17"/>
  <c r="CG23" i="17"/>
  <c r="CH23" i="17"/>
  <c r="CI23" i="17"/>
  <c r="CJ23" i="17"/>
  <c r="CK23" i="17"/>
  <c r="CL23" i="17"/>
  <c r="CM23" i="17"/>
  <c r="CN23" i="17"/>
  <c r="CO23" i="17"/>
  <c r="CP23" i="17"/>
  <c r="CQ23" i="17"/>
  <c r="CR23" i="17"/>
  <c r="CS23" i="17"/>
  <c r="CT23" i="17"/>
  <c r="CU23" i="17"/>
  <c r="CV23" i="17"/>
  <c r="CW23" i="17"/>
  <c r="CX23" i="17"/>
  <c r="CY23" i="17"/>
  <c r="CZ23" i="17"/>
  <c r="DA23" i="17"/>
  <c r="DB23" i="17"/>
  <c r="DC23" i="17"/>
  <c r="DD23" i="17"/>
  <c r="DE23" i="17"/>
  <c r="DF23" i="17"/>
  <c r="DG23" i="17"/>
  <c r="DH23" i="17"/>
  <c r="DI23" i="17"/>
  <c r="DJ23" i="17"/>
  <c r="DK23" i="17"/>
  <c r="DL23" i="17"/>
  <c r="DM23" i="17"/>
  <c r="DN23" i="17"/>
  <c r="DO23" i="17"/>
  <c r="DP23" i="17"/>
  <c r="DQ23" i="17"/>
  <c r="DR23" i="17"/>
  <c r="DS23" i="17"/>
  <c r="DT23" i="17"/>
  <c r="DU23" i="17"/>
  <c r="DV23" i="17"/>
  <c r="DW23" i="17"/>
  <c r="DX23" i="17"/>
  <c r="DY23" i="17"/>
  <c r="DZ23" i="17"/>
  <c r="EA23" i="17"/>
  <c r="EB23" i="17"/>
  <c r="EC23" i="17"/>
  <c r="ED23" i="17"/>
  <c r="EE23" i="17"/>
  <c r="EF23" i="17"/>
  <c r="EG23" i="17"/>
  <c r="EH23" i="17"/>
  <c r="EI23" i="17"/>
  <c r="EJ23" i="17"/>
  <c r="EK23" i="17"/>
  <c r="EL23" i="17"/>
  <c r="EM23" i="17"/>
  <c r="EN23" i="17"/>
  <c r="EO23" i="17"/>
  <c r="EP23" i="17"/>
  <c r="EQ23" i="17"/>
  <c r="ER23" i="17"/>
  <c r="ES23" i="17"/>
  <c r="ET23" i="17"/>
  <c r="EU23" i="17"/>
  <c r="EV23" i="17"/>
  <c r="EW23" i="17"/>
  <c r="EX23" i="17"/>
  <c r="EY23" i="17"/>
  <c r="EZ23" i="17"/>
  <c r="FA23" i="17"/>
  <c r="FB23" i="17"/>
  <c r="FC23" i="17"/>
  <c r="FD23" i="17"/>
  <c r="FE23" i="17"/>
  <c r="FF23" i="17"/>
  <c r="FG23" i="17"/>
  <c r="FH23" i="17"/>
  <c r="FI23" i="17"/>
  <c r="FJ23" i="17"/>
  <c r="FK23" i="17"/>
  <c r="FL23" i="17"/>
  <c r="FM23" i="17"/>
  <c r="FN23" i="17"/>
  <c r="FO23" i="17"/>
  <c r="FP23" i="17"/>
  <c r="FQ23" i="17"/>
  <c r="FR23" i="17"/>
  <c r="FS23" i="17"/>
  <c r="FT23" i="17"/>
  <c r="FU23" i="17"/>
  <c r="FV23" i="17"/>
  <c r="FW23" i="17"/>
  <c r="FX23" i="17"/>
  <c r="FY23" i="17"/>
  <c r="FZ23" i="17"/>
  <c r="GA23" i="17"/>
  <c r="GB23" i="17"/>
  <c r="GC23" i="17"/>
  <c r="GD23" i="17"/>
  <c r="GE23" i="17"/>
  <c r="GF23" i="17"/>
  <c r="GG23" i="17"/>
  <c r="GH23" i="17"/>
  <c r="GI23" i="17"/>
  <c r="GJ23" i="17"/>
  <c r="GK23" i="17"/>
  <c r="GL23" i="17"/>
  <c r="GM23" i="17"/>
  <c r="GN23" i="17"/>
  <c r="GO23" i="17"/>
  <c r="GP23" i="17"/>
  <c r="GQ23" i="17"/>
  <c r="GR23" i="17"/>
  <c r="GS23" i="17"/>
  <c r="GT23" i="17"/>
  <c r="GU23" i="17"/>
  <c r="GV23" i="17"/>
  <c r="GW23" i="17"/>
  <c r="GX23" i="17"/>
  <c r="GY23" i="17"/>
  <c r="GZ23" i="17"/>
  <c r="HA23" i="17"/>
  <c r="HB23" i="17"/>
  <c r="HC23" i="17"/>
  <c r="HD23" i="17"/>
  <c r="HE23" i="17"/>
  <c r="HF23" i="17"/>
  <c r="HG23" i="17"/>
  <c r="HH23" i="17"/>
  <c r="HI23" i="17"/>
  <c r="HJ23" i="17"/>
  <c r="HK23" i="17"/>
  <c r="HL23" i="17"/>
  <c r="HM23" i="17"/>
  <c r="HN23" i="17"/>
  <c r="HO23" i="17"/>
  <c r="HP23" i="17"/>
  <c r="HQ23" i="17"/>
  <c r="HR23" i="17"/>
  <c r="HS23" i="17"/>
  <c r="HT23" i="17"/>
  <c r="HU23" i="17"/>
  <c r="HV23" i="17"/>
  <c r="HW23" i="17"/>
  <c r="HX23" i="17"/>
  <c r="HY23" i="17"/>
  <c r="HZ23" i="17"/>
  <c r="IA23" i="17"/>
  <c r="IB23" i="17"/>
  <c r="IC23" i="17"/>
  <c r="ID23" i="17"/>
  <c r="IE23" i="17"/>
  <c r="IF23" i="17"/>
  <c r="IG23" i="17"/>
  <c r="IH23" i="17"/>
  <c r="II23" i="17"/>
  <c r="IJ23" i="17"/>
  <c r="IK23" i="17"/>
  <c r="IL23" i="17"/>
  <c r="IM23" i="17"/>
  <c r="IN23" i="17"/>
  <c r="IO23" i="17"/>
  <c r="IP23" i="17"/>
  <c r="IQ23" i="17"/>
  <c r="IR23" i="17"/>
  <c r="IS23" i="17"/>
  <c r="IT23" i="17"/>
  <c r="IU23" i="17"/>
  <c r="IV23" i="17"/>
  <c r="A24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AS24" i="17"/>
  <c r="AT24" i="17"/>
  <c r="AU24" i="17"/>
  <c r="AV24" i="17"/>
  <c r="AW24" i="17"/>
  <c r="AX24" i="17"/>
  <c r="AY24" i="17"/>
  <c r="AZ24" i="17"/>
  <c r="BA24" i="17"/>
  <c r="BB24" i="17"/>
  <c r="BC24" i="17"/>
  <c r="BD24" i="17"/>
  <c r="BE24" i="17"/>
  <c r="BF24" i="17"/>
  <c r="BG24" i="17"/>
  <c r="BH24" i="17"/>
  <c r="BI24" i="17"/>
  <c r="BJ24" i="17"/>
  <c r="BK24" i="17"/>
  <c r="BL24" i="17"/>
  <c r="BM24" i="17"/>
  <c r="BN24" i="17"/>
  <c r="BO24" i="17"/>
  <c r="BP24" i="17"/>
  <c r="BQ24" i="17"/>
  <c r="BR24" i="17"/>
  <c r="BS24" i="17"/>
  <c r="BT24" i="17"/>
  <c r="BU24" i="17"/>
  <c r="BV24" i="17"/>
  <c r="BW24" i="17"/>
  <c r="BX24" i="17"/>
  <c r="BY24" i="17"/>
  <c r="BZ24" i="17"/>
  <c r="CA24" i="17"/>
  <c r="CB24" i="17"/>
  <c r="CC24" i="17"/>
  <c r="CD24" i="17"/>
  <c r="CE24" i="17"/>
  <c r="CF24" i="17"/>
  <c r="CG24" i="17"/>
  <c r="CH24" i="17"/>
  <c r="CI24" i="17"/>
  <c r="CJ24" i="17"/>
  <c r="CK24" i="17"/>
  <c r="CL24" i="17"/>
  <c r="CM24" i="17"/>
  <c r="CN24" i="17"/>
  <c r="CO24" i="17"/>
  <c r="CP24" i="17"/>
  <c r="CQ24" i="17"/>
  <c r="CR24" i="17"/>
  <c r="CS24" i="17"/>
  <c r="CT24" i="17"/>
  <c r="CU24" i="17"/>
  <c r="CV24" i="17"/>
  <c r="CW24" i="17"/>
  <c r="CX24" i="17"/>
  <c r="CY24" i="17"/>
  <c r="CZ24" i="17"/>
  <c r="DA24" i="17"/>
  <c r="DB24" i="17"/>
  <c r="DC24" i="17"/>
  <c r="DD24" i="17"/>
  <c r="DE24" i="17"/>
  <c r="DF24" i="17"/>
  <c r="DG24" i="17"/>
  <c r="DH24" i="17"/>
  <c r="DI24" i="17"/>
  <c r="DJ24" i="17"/>
  <c r="DK24" i="17"/>
  <c r="DL24" i="17"/>
  <c r="DM24" i="17"/>
  <c r="DN24" i="17"/>
  <c r="DO24" i="17"/>
  <c r="DP24" i="17"/>
  <c r="DQ24" i="17"/>
  <c r="DR24" i="17"/>
  <c r="DS24" i="17"/>
  <c r="DT24" i="17"/>
  <c r="DU24" i="17"/>
  <c r="DV24" i="17"/>
  <c r="DW24" i="17"/>
  <c r="DX24" i="17"/>
  <c r="DY24" i="17"/>
  <c r="DZ24" i="17"/>
  <c r="EA24" i="17"/>
  <c r="EB24" i="17"/>
  <c r="EC24" i="17"/>
  <c r="ED24" i="17"/>
  <c r="EE24" i="17"/>
  <c r="EF24" i="17"/>
  <c r="EG24" i="17"/>
  <c r="EH24" i="17"/>
  <c r="EI24" i="17"/>
  <c r="EJ24" i="17"/>
  <c r="EK24" i="17"/>
  <c r="EL24" i="17"/>
  <c r="EM24" i="17"/>
  <c r="EN24" i="17"/>
  <c r="EO24" i="17"/>
  <c r="EP24" i="17"/>
  <c r="EQ24" i="17"/>
  <c r="ER24" i="17"/>
  <c r="ES24" i="17"/>
  <c r="ET24" i="17"/>
  <c r="EU24" i="17"/>
  <c r="EV24" i="17"/>
  <c r="EW24" i="17"/>
  <c r="EX24" i="17"/>
  <c r="EY24" i="17"/>
  <c r="EZ24" i="17"/>
  <c r="FA24" i="17"/>
  <c r="FB24" i="17"/>
  <c r="FC24" i="17"/>
  <c r="FD24" i="17"/>
  <c r="FE24" i="17"/>
  <c r="FF24" i="17"/>
  <c r="FG24" i="17"/>
  <c r="FH24" i="17"/>
  <c r="FI24" i="17"/>
  <c r="FJ24" i="17"/>
  <c r="FK24" i="17"/>
  <c r="FL24" i="17"/>
  <c r="FM24" i="17"/>
  <c r="FN24" i="17"/>
  <c r="FO24" i="17"/>
  <c r="FP24" i="17"/>
  <c r="FQ24" i="17"/>
  <c r="FR24" i="17"/>
  <c r="FS24" i="17"/>
  <c r="FT24" i="17"/>
  <c r="FU24" i="17"/>
  <c r="FV24" i="17"/>
  <c r="FW24" i="17"/>
  <c r="FX24" i="17"/>
  <c r="FY24" i="17"/>
  <c r="FZ24" i="17"/>
  <c r="GA24" i="17"/>
  <c r="GB24" i="17"/>
  <c r="GC24" i="17"/>
  <c r="GD24" i="17"/>
  <c r="GE24" i="17"/>
  <c r="GF24" i="17"/>
  <c r="GG24" i="17"/>
  <c r="GH24" i="17"/>
  <c r="GI24" i="17"/>
  <c r="GJ24" i="17"/>
  <c r="GK24" i="17"/>
  <c r="GL24" i="17"/>
  <c r="GM24" i="17"/>
  <c r="GN24" i="17"/>
  <c r="GO24" i="17"/>
  <c r="GP24" i="17"/>
  <c r="GQ24" i="17"/>
  <c r="GR24" i="17"/>
  <c r="GS24" i="17"/>
  <c r="GT24" i="17"/>
  <c r="GU24" i="17"/>
  <c r="GV24" i="17"/>
  <c r="GW24" i="17"/>
  <c r="GX24" i="17"/>
  <c r="GY24" i="17"/>
  <c r="GZ24" i="17"/>
  <c r="HA24" i="17"/>
  <c r="HB24" i="17"/>
  <c r="HC24" i="17"/>
  <c r="HD24" i="17"/>
  <c r="HE24" i="17"/>
  <c r="HF24" i="17"/>
  <c r="HG24" i="17"/>
  <c r="HH24" i="17"/>
  <c r="HI24" i="17"/>
  <c r="HJ24" i="17"/>
  <c r="HK24" i="17"/>
  <c r="HL24" i="17"/>
  <c r="HM24" i="17"/>
  <c r="HN24" i="17"/>
  <c r="HO24" i="17"/>
  <c r="HP24" i="17"/>
  <c r="HQ24" i="17"/>
  <c r="HR24" i="17"/>
  <c r="HS24" i="17"/>
  <c r="HT24" i="17"/>
  <c r="HU24" i="17"/>
  <c r="HV24" i="17"/>
  <c r="HW24" i="17"/>
  <c r="HX24" i="17"/>
  <c r="HY24" i="17"/>
  <c r="HZ24" i="17"/>
  <c r="IA24" i="17"/>
  <c r="IB24" i="17"/>
  <c r="IC24" i="17"/>
  <c r="ID24" i="17"/>
  <c r="IE24" i="17"/>
  <c r="IF24" i="17"/>
  <c r="IG24" i="17"/>
  <c r="IH24" i="17"/>
  <c r="II24" i="17"/>
  <c r="IJ24" i="17"/>
  <c r="IK24" i="17"/>
  <c r="IL24" i="17"/>
  <c r="IM24" i="17"/>
  <c r="IN24" i="17"/>
  <c r="IO24" i="17"/>
  <c r="IP24" i="17"/>
  <c r="IQ24" i="17"/>
  <c r="IR24" i="17"/>
  <c r="IS24" i="17"/>
  <c r="IT24" i="17"/>
  <c r="IU24" i="17"/>
  <c r="IV24" i="17"/>
  <c r="A25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AS25" i="17"/>
  <c r="AT25" i="17"/>
  <c r="AU25" i="17"/>
  <c r="AV25" i="17"/>
  <c r="AW25" i="17"/>
  <c r="AX25" i="17"/>
  <c r="AY25" i="17"/>
  <c r="AZ25" i="17"/>
  <c r="BA25" i="17"/>
  <c r="BB25" i="17"/>
  <c r="BC25" i="17"/>
  <c r="BD25" i="17"/>
  <c r="BE25" i="17"/>
  <c r="BF25" i="17"/>
  <c r="BG25" i="17"/>
  <c r="BH25" i="17"/>
  <c r="BI25" i="17"/>
  <c r="BJ25" i="17"/>
  <c r="BK25" i="17"/>
  <c r="BL25" i="17"/>
  <c r="BM25" i="17"/>
  <c r="BN25" i="17"/>
  <c r="BO25" i="17"/>
  <c r="BP25" i="17"/>
  <c r="BQ25" i="17"/>
  <c r="BR25" i="17"/>
  <c r="BS25" i="17"/>
  <c r="BT25" i="17"/>
  <c r="BU25" i="17"/>
  <c r="BV25" i="17"/>
  <c r="BW25" i="17"/>
  <c r="BX25" i="17"/>
  <c r="BY25" i="17"/>
  <c r="BZ25" i="17"/>
  <c r="CA25" i="17"/>
  <c r="CB25" i="17"/>
  <c r="CC25" i="17"/>
  <c r="CD25" i="17"/>
  <c r="CE25" i="17"/>
  <c r="CF25" i="17"/>
  <c r="CG25" i="17"/>
  <c r="CH25" i="17"/>
  <c r="CI25" i="17"/>
  <c r="CJ25" i="17"/>
  <c r="CK25" i="17"/>
  <c r="CL25" i="17"/>
  <c r="CM25" i="17"/>
  <c r="CN25" i="17"/>
  <c r="CO25" i="17"/>
  <c r="CP25" i="17"/>
  <c r="CQ25" i="17"/>
  <c r="CR25" i="17"/>
  <c r="CS25" i="17"/>
  <c r="CT25" i="17"/>
  <c r="CU25" i="17"/>
  <c r="CV25" i="17"/>
  <c r="CW25" i="17"/>
  <c r="CX25" i="17"/>
  <c r="CY25" i="17"/>
  <c r="CZ25" i="17"/>
  <c r="DA25" i="17"/>
  <c r="DB25" i="17"/>
  <c r="DC25" i="17"/>
  <c r="DD25" i="17"/>
  <c r="DE25" i="17"/>
  <c r="DF25" i="17"/>
  <c r="DG25" i="17"/>
  <c r="DH25" i="17"/>
  <c r="DI25" i="17"/>
  <c r="DJ25" i="17"/>
  <c r="DK25" i="17"/>
  <c r="DL25" i="17"/>
  <c r="DM25" i="17"/>
  <c r="DN25" i="17"/>
  <c r="DO25" i="17"/>
  <c r="DP25" i="17"/>
  <c r="DQ25" i="17"/>
  <c r="DR25" i="17"/>
  <c r="DS25" i="17"/>
  <c r="DT25" i="17"/>
  <c r="DU25" i="17"/>
  <c r="DV25" i="17"/>
  <c r="DW25" i="17"/>
  <c r="DX25" i="17"/>
  <c r="DY25" i="17"/>
  <c r="DZ25" i="17"/>
  <c r="EA25" i="17"/>
  <c r="EB25" i="17"/>
  <c r="EC25" i="17"/>
  <c r="ED25" i="17"/>
  <c r="EE25" i="17"/>
  <c r="EF25" i="17"/>
  <c r="EG25" i="17"/>
  <c r="EH25" i="17"/>
  <c r="EI25" i="17"/>
  <c r="EJ25" i="17"/>
  <c r="EK25" i="17"/>
  <c r="EL25" i="17"/>
  <c r="EM25" i="17"/>
  <c r="EN25" i="17"/>
  <c r="EO25" i="17"/>
  <c r="EP25" i="17"/>
  <c r="EQ25" i="17"/>
  <c r="ER25" i="17"/>
  <c r="ES25" i="17"/>
  <c r="ET25" i="17"/>
  <c r="EU25" i="17"/>
  <c r="EV25" i="17"/>
  <c r="EW25" i="17"/>
  <c r="EX25" i="17"/>
  <c r="EY25" i="17"/>
  <c r="EZ25" i="17"/>
  <c r="FA25" i="17"/>
  <c r="FB25" i="17"/>
  <c r="FC25" i="17"/>
  <c r="FD25" i="17"/>
  <c r="FE25" i="17"/>
  <c r="FF25" i="17"/>
  <c r="FG25" i="17"/>
  <c r="FH25" i="17"/>
  <c r="FI25" i="17"/>
  <c r="FJ25" i="17"/>
  <c r="FK25" i="17"/>
  <c r="FL25" i="17"/>
  <c r="FM25" i="17"/>
  <c r="FN25" i="17"/>
  <c r="FO25" i="17"/>
  <c r="FP25" i="17"/>
  <c r="FQ25" i="17"/>
  <c r="FR25" i="17"/>
  <c r="FS25" i="17"/>
  <c r="FT25" i="17"/>
  <c r="FU25" i="17"/>
  <c r="FV25" i="17"/>
  <c r="FW25" i="17"/>
  <c r="FX25" i="17"/>
  <c r="FY25" i="17"/>
  <c r="FZ25" i="17"/>
  <c r="GA25" i="17"/>
  <c r="GB25" i="17"/>
  <c r="GC25" i="17"/>
  <c r="GD25" i="17"/>
  <c r="GE25" i="17"/>
  <c r="GF25" i="17"/>
  <c r="GG25" i="17"/>
  <c r="GH25" i="17"/>
  <c r="GI25" i="17"/>
  <c r="GJ25" i="17"/>
  <c r="GK25" i="17"/>
  <c r="GL25" i="17"/>
  <c r="GM25" i="17"/>
  <c r="GN25" i="17"/>
  <c r="GO25" i="17"/>
  <c r="GP25" i="17"/>
  <c r="GQ25" i="17"/>
  <c r="GR25" i="17"/>
  <c r="GS25" i="17"/>
  <c r="GT25" i="17"/>
  <c r="GU25" i="17"/>
  <c r="GV25" i="17"/>
  <c r="GW25" i="17"/>
  <c r="GX25" i="17"/>
  <c r="GY25" i="17"/>
  <c r="GZ25" i="17"/>
  <c r="HA25" i="17"/>
  <c r="HB25" i="17"/>
  <c r="HC25" i="17"/>
  <c r="HD25" i="17"/>
  <c r="HE25" i="17"/>
  <c r="HF25" i="17"/>
  <c r="HG25" i="17"/>
  <c r="HH25" i="17"/>
  <c r="HI25" i="17"/>
  <c r="HJ25" i="17"/>
  <c r="HK25" i="17"/>
  <c r="HL25" i="17"/>
  <c r="HM25" i="17"/>
  <c r="HN25" i="17"/>
  <c r="HO25" i="17"/>
  <c r="HP25" i="17"/>
  <c r="HQ25" i="17"/>
  <c r="HR25" i="17"/>
  <c r="HS25" i="17"/>
  <c r="HT25" i="17"/>
  <c r="HU25" i="17"/>
  <c r="HV25" i="17"/>
  <c r="HW25" i="17"/>
  <c r="HX25" i="17"/>
  <c r="HY25" i="17"/>
  <c r="HZ25" i="17"/>
  <c r="IA25" i="17"/>
  <c r="IB25" i="17"/>
  <c r="IC25" i="17"/>
  <c r="ID25" i="17"/>
  <c r="IE25" i="17"/>
  <c r="IF25" i="17"/>
  <c r="IG25" i="17"/>
  <c r="IH25" i="17"/>
  <c r="II25" i="17"/>
  <c r="IJ25" i="17"/>
  <c r="IK25" i="17"/>
  <c r="IL25" i="17"/>
  <c r="IM25" i="17"/>
  <c r="IN25" i="17"/>
  <c r="IO25" i="17"/>
  <c r="IP25" i="17"/>
  <c r="IQ25" i="17"/>
  <c r="IR25" i="17"/>
  <c r="IS25" i="17"/>
  <c r="IT25" i="17"/>
  <c r="IU25" i="17"/>
  <c r="IV25" i="17"/>
  <c r="A26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AS26" i="17"/>
  <c r="AT26" i="17"/>
  <c r="AU26" i="17"/>
  <c r="AV26" i="17"/>
  <c r="AW26" i="17"/>
  <c r="AX26" i="17"/>
  <c r="AY26" i="17"/>
  <c r="AZ26" i="17"/>
  <c r="BA26" i="17"/>
  <c r="BB26" i="17"/>
  <c r="BC26" i="17"/>
  <c r="BD26" i="17"/>
  <c r="BE26" i="17"/>
  <c r="BF26" i="17"/>
  <c r="BG26" i="17"/>
  <c r="BH26" i="17"/>
  <c r="BI26" i="17"/>
  <c r="BJ26" i="17"/>
  <c r="BK26" i="17"/>
  <c r="BL26" i="17"/>
  <c r="BM26" i="17"/>
  <c r="BN26" i="17"/>
  <c r="BO26" i="17"/>
  <c r="BP26" i="17"/>
  <c r="BQ26" i="17"/>
  <c r="BR26" i="17"/>
  <c r="BS26" i="17"/>
  <c r="BT26" i="17"/>
  <c r="BU26" i="17"/>
  <c r="BV26" i="17"/>
  <c r="BW26" i="17"/>
  <c r="BX26" i="17"/>
  <c r="BY26" i="17"/>
  <c r="BZ26" i="17"/>
  <c r="CA26" i="17"/>
  <c r="CB26" i="17"/>
  <c r="CC26" i="17"/>
  <c r="CD26" i="17"/>
  <c r="CE26" i="17"/>
  <c r="CF26" i="17"/>
  <c r="CG26" i="17"/>
  <c r="CH26" i="17"/>
  <c r="CI26" i="17"/>
  <c r="CJ26" i="17"/>
  <c r="CK26" i="17"/>
  <c r="CL26" i="17"/>
  <c r="CM26" i="17"/>
  <c r="CN26" i="17"/>
  <c r="CO26" i="17"/>
  <c r="CP26" i="17"/>
  <c r="CQ26" i="17"/>
  <c r="CR26" i="17"/>
  <c r="CS26" i="17"/>
  <c r="CT26" i="17"/>
  <c r="CU26" i="17"/>
  <c r="CV26" i="17"/>
  <c r="CW26" i="17"/>
  <c r="CX26" i="17"/>
  <c r="CY26" i="17"/>
  <c r="CZ26" i="17"/>
  <c r="DA26" i="17"/>
  <c r="DB26" i="17"/>
  <c r="DC26" i="17"/>
  <c r="DD26" i="17"/>
  <c r="DE26" i="17"/>
  <c r="DF26" i="17"/>
  <c r="DG26" i="17"/>
  <c r="DH26" i="17"/>
  <c r="DI26" i="17"/>
  <c r="DJ26" i="17"/>
  <c r="DK26" i="17"/>
  <c r="DL26" i="17"/>
  <c r="DM26" i="17"/>
  <c r="DN26" i="17"/>
  <c r="DO26" i="17"/>
  <c r="DP26" i="17"/>
  <c r="DQ26" i="17"/>
  <c r="DR26" i="17"/>
  <c r="DS26" i="17"/>
  <c r="DT26" i="17"/>
  <c r="DU26" i="17"/>
  <c r="DV26" i="17"/>
  <c r="DW26" i="17"/>
  <c r="DX26" i="17"/>
  <c r="DY26" i="17"/>
  <c r="DZ26" i="17"/>
  <c r="EA26" i="17"/>
  <c r="EB26" i="17"/>
  <c r="EC26" i="17"/>
  <c r="ED26" i="17"/>
  <c r="EE26" i="17"/>
  <c r="EF26" i="17"/>
  <c r="EG26" i="17"/>
  <c r="EH26" i="17"/>
  <c r="EI26" i="17"/>
  <c r="EJ26" i="17"/>
  <c r="EK26" i="17"/>
  <c r="EL26" i="17"/>
  <c r="EM26" i="17"/>
  <c r="EN26" i="17"/>
  <c r="EO26" i="17"/>
  <c r="EP26" i="17"/>
  <c r="EQ26" i="17"/>
  <c r="ER26" i="17"/>
  <c r="ET26" i="17"/>
  <c r="EU26" i="17"/>
  <c r="EV26" i="17"/>
  <c r="EW26" i="17"/>
  <c r="EX26" i="17"/>
  <c r="EY26" i="17"/>
  <c r="EZ26" i="17"/>
  <c r="FB26" i="17"/>
  <c r="FC26" i="17"/>
  <c r="FD26" i="17"/>
  <c r="FE26" i="17"/>
  <c r="FF26" i="17"/>
  <c r="FG26" i="17"/>
  <c r="FH26" i="17"/>
  <c r="FK26" i="17"/>
  <c r="FL26" i="17"/>
  <c r="FM26" i="17"/>
  <c r="FP26" i="17"/>
  <c r="FQ26" i="17"/>
  <c r="FR26" i="17"/>
  <c r="FS26" i="17"/>
  <c r="FT26" i="17"/>
  <c r="FU26" i="17"/>
  <c r="FV26" i="17"/>
  <c r="FW26" i="17"/>
  <c r="FX26" i="17"/>
  <c r="FY26" i="17"/>
  <c r="FZ26" i="17"/>
  <c r="GA26" i="17"/>
  <c r="GB26" i="17"/>
  <c r="GC26" i="17"/>
  <c r="GD26" i="17"/>
  <c r="GE26" i="17"/>
  <c r="GF26" i="17"/>
  <c r="GG26" i="17"/>
  <c r="GH26" i="17"/>
  <c r="GI26" i="17"/>
  <c r="GJ26" i="17"/>
  <c r="GK26" i="17"/>
  <c r="GL26" i="17"/>
  <c r="GM26" i="17"/>
  <c r="GN26" i="17"/>
  <c r="GO26" i="17"/>
  <c r="GP26" i="17"/>
  <c r="GQ26" i="17"/>
  <c r="GR26" i="17"/>
  <c r="GS26" i="17"/>
  <c r="GT26" i="17"/>
  <c r="GU26" i="17"/>
  <c r="GV26" i="17"/>
  <c r="GW26" i="17"/>
  <c r="GX26" i="17"/>
  <c r="GY26" i="17"/>
  <c r="GZ26" i="17"/>
  <c r="HA26" i="17"/>
  <c r="HB26" i="17"/>
  <c r="HC26" i="17"/>
  <c r="HD26" i="17"/>
  <c r="HE26" i="17"/>
  <c r="HF26" i="17"/>
  <c r="HG26" i="17"/>
  <c r="HH26" i="17"/>
  <c r="HI26" i="17"/>
  <c r="HJ26" i="17"/>
  <c r="HK26" i="17"/>
  <c r="HL26" i="17"/>
  <c r="HM26" i="17"/>
  <c r="HN26" i="17"/>
  <c r="HO26" i="17"/>
  <c r="HP26" i="17"/>
  <c r="HQ26" i="17"/>
  <c r="HR26" i="17"/>
  <c r="HS26" i="17"/>
  <c r="HT26" i="17"/>
  <c r="HU26" i="17"/>
  <c r="HV26" i="17"/>
  <c r="HW26" i="17"/>
  <c r="HX26" i="17"/>
  <c r="HY26" i="17"/>
  <c r="HZ26" i="17"/>
  <c r="IA26" i="17"/>
  <c r="IB26" i="17"/>
  <c r="IC26" i="17"/>
  <c r="ID26" i="17"/>
  <c r="IE26" i="17"/>
  <c r="IF26" i="17"/>
  <c r="IG26" i="17"/>
  <c r="IH26" i="17"/>
  <c r="II26" i="17"/>
  <c r="IJ26" i="17"/>
  <c r="IK26" i="17"/>
  <c r="IL26" i="17"/>
  <c r="IM26" i="17"/>
  <c r="IN26" i="17"/>
  <c r="IO26" i="17"/>
  <c r="IP26" i="17"/>
  <c r="IQ26" i="17"/>
  <c r="IR26" i="17"/>
  <c r="IS26" i="17"/>
  <c r="IT26" i="17"/>
  <c r="IU26" i="17"/>
  <c r="IV26" i="17"/>
  <c r="A27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O27" i="17"/>
  <c r="P27" i="17"/>
  <c r="Q27" i="17"/>
  <c r="R27" i="17"/>
  <c r="S27" i="17"/>
  <c r="T27" i="17"/>
  <c r="U27" i="17"/>
  <c r="V27" i="17"/>
  <c r="W27" i="17"/>
  <c r="X27" i="17"/>
  <c r="Y27" i="17"/>
  <c r="Z27" i="17"/>
  <c r="AA27" i="17"/>
  <c r="AB27" i="17"/>
  <c r="AC27" i="17"/>
  <c r="AD27" i="17"/>
  <c r="AE27" i="17"/>
  <c r="AF27" i="17"/>
  <c r="AG27" i="17"/>
  <c r="AH27" i="17"/>
  <c r="AI27" i="17"/>
  <c r="AJ27" i="17"/>
  <c r="AK27" i="17"/>
  <c r="AL27" i="17"/>
  <c r="AM27" i="17"/>
  <c r="AN27" i="17"/>
  <c r="AO27" i="17"/>
  <c r="AP27" i="17"/>
  <c r="AQ27" i="17"/>
  <c r="AR27" i="17"/>
  <c r="AS27" i="17"/>
  <c r="AT27" i="17"/>
  <c r="AU27" i="17"/>
  <c r="AV27" i="17"/>
  <c r="AW27" i="17"/>
  <c r="AX27" i="17"/>
  <c r="AY27" i="17"/>
  <c r="AZ27" i="17"/>
  <c r="BA27" i="17"/>
  <c r="BB27" i="17"/>
  <c r="BC27" i="17"/>
  <c r="BD27" i="17"/>
  <c r="BE27" i="17"/>
  <c r="BF27" i="17"/>
  <c r="BG27" i="17"/>
  <c r="BH27" i="17"/>
  <c r="BI27" i="17"/>
  <c r="BJ27" i="17"/>
  <c r="BK27" i="17"/>
  <c r="BL27" i="17"/>
  <c r="BM27" i="17"/>
  <c r="BN27" i="17"/>
  <c r="BO27" i="17"/>
  <c r="BP27" i="17"/>
  <c r="BQ27" i="17"/>
  <c r="BR27" i="17"/>
  <c r="BS27" i="17"/>
  <c r="BT27" i="17"/>
  <c r="BU27" i="17"/>
  <c r="BV27" i="17"/>
  <c r="BW27" i="17"/>
  <c r="BX27" i="17"/>
  <c r="BY27" i="17"/>
  <c r="BZ27" i="17"/>
  <c r="CA27" i="17"/>
  <c r="CB27" i="17"/>
  <c r="CC27" i="17"/>
  <c r="CD27" i="17"/>
  <c r="CE27" i="17"/>
  <c r="CF27" i="17"/>
  <c r="CG27" i="17"/>
  <c r="CH27" i="17"/>
  <c r="CI27" i="17"/>
  <c r="CJ27" i="17"/>
  <c r="CK27" i="17"/>
  <c r="CL27" i="17"/>
  <c r="CM27" i="17"/>
  <c r="CN27" i="17"/>
  <c r="CO27" i="17"/>
  <c r="CP27" i="17"/>
  <c r="CQ27" i="17"/>
  <c r="CR27" i="17"/>
  <c r="CS27" i="17"/>
  <c r="CT27" i="17"/>
  <c r="CU27" i="17"/>
  <c r="CV27" i="17"/>
  <c r="CW27" i="17"/>
  <c r="CX27" i="17"/>
  <c r="CY27" i="17"/>
  <c r="CZ27" i="17"/>
  <c r="DA27" i="17"/>
  <c r="DB27" i="17"/>
  <c r="DC27" i="17"/>
  <c r="DD27" i="17"/>
  <c r="DE27" i="17"/>
  <c r="DF27" i="17"/>
  <c r="DG27" i="17"/>
  <c r="DH27" i="17"/>
  <c r="DI27" i="17"/>
  <c r="DJ27" i="17"/>
  <c r="DK27" i="17"/>
  <c r="DL27" i="17"/>
  <c r="DM27" i="17"/>
  <c r="DN27" i="17"/>
  <c r="DO27" i="17"/>
  <c r="DP27" i="17"/>
  <c r="DQ27" i="17"/>
  <c r="DR27" i="17"/>
  <c r="DS27" i="17"/>
  <c r="DT27" i="17"/>
  <c r="DU27" i="17"/>
  <c r="DV27" i="17"/>
  <c r="DW27" i="17"/>
  <c r="DX27" i="17"/>
  <c r="DY27" i="17"/>
  <c r="DZ27" i="17"/>
  <c r="EA27" i="17"/>
  <c r="EB27" i="17"/>
  <c r="EC27" i="17"/>
  <c r="ED27" i="17"/>
  <c r="EE27" i="17"/>
  <c r="EF27" i="17"/>
  <c r="EG27" i="17"/>
  <c r="EH27" i="17"/>
  <c r="EI27" i="17"/>
  <c r="EJ27" i="17"/>
  <c r="EK27" i="17"/>
  <c r="EL27" i="17"/>
  <c r="EM27" i="17"/>
  <c r="EN27" i="17"/>
  <c r="EO27" i="17"/>
  <c r="EP27" i="17"/>
  <c r="EQ27" i="17"/>
  <c r="ER27" i="17"/>
  <c r="ES27" i="17"/>
  <c r="ET27" i="17"/>
  <c r="EU27" i="17"/>
  <c r="EV27" i="17"/>
  <c r="EW27" i="17"/>
  <c r="EX27" i="17"/>
  <c r="EY27" i="17"/>
  <c r="EZ27" i="17"/>
  <c r="FA27" i="17"/>
  <c r="FB27" i="17"/>
  <c r="FC27" i="17"/>
  <c r="FD27" i="17"/>
  <c r="FE27" i="17"/>
  <c r="FF27" i="17"/>
  <c r="FG27" i="17"/>
  <c r="FH27" i="17"/>
  <c r="FI27" i="17"/>
  <c r="FJ27" i="17"/>
  <c r="FK27" i="17"/>
  <c r="FL27" i="17"/>
  <c r="FM27" i="17"/>
  <c r="FN27" i="17"/>
  <c r="FO27" i="17"/>
  <c r="FP27" i="17"/>
  <c r="FQ27" i="17"/>
  <c r="FR27" i="17"/>
  <c r="FS27" i="17"/>
  <c r="FT27" i="17"/>
  <c r="FU27" i="17"/>
  <c r="FV27" i="17"/>
  <c r="FW27" i="17"/>
  <c r="FX27" i="17"/>
  <c r="FY27" i="17"/>
  <c r="FZ27" i="17"/>
  <c r="GA27" i="17"/>
  <c r="GB27" i="17"/>
  <c r="GC27" i="17"/>
  <c r="GD27" i="17"/>
  <c r="GE27" i="17"/>
  <c r="GF27" i="17"/>
  <c r="GG27" i="17"/>
  <c r="GH27" i="17"/>
  <c r="GI27" i="17"/>
  <c r="GJ27" i="17"/>
  <c r="GK27" i="17"/>
  <c r="GL27" i="17"/>
  <c r="GM27" i="17"/>
  <c r="GN27" i="17"/>
  <c r="GO27" i="17"/>
  <c r="GP27" i="17"/>
  <c r="GQ27" i="17"/>
  <c r="GR27" i="17"/>
  <c r="GS27" i="17"/>
  <c r="GT27" i="17"/>
  <c r="GU27" i="17"/>
  <c r="GV27" i="17"/>
  <c r="GW27" i="17"/>
  <c r="GX27" i="17"/>
  <c r="GY27" i="17"/>
  <c r="GZ27" i="17"/>
  <c r="HA27" i="17"/>
  <c r="HB27" i="17"/>
  <c r="HC27" i="17"/>
  <c r="HD27" i="17"/>
  <c r="HE27" i="17"/>
  <c r="HF27" i="17"/>
  <c r="HG27" i="17"/>
  <c r="HH27" i="17"/>
  <c r="HI27" i="17"/>
  <c r="HJ27" i="17"/>
  <c r="HK27" i="17"/>
  <c r="HL27" i="17"/>
  <c r="HM27" i="17"/>
  <c r="HN27" i="17"/>
  <c r="HO27" i="17"/>
  <c r="HP27" i="17"/>
  <c r="HQ27" i="17"/>
  <c r="HR27" i="17"/>
  <c r="HS27" i="17"/>
  <c r="HT27" i="17"/>
  <c r="HU27" i="17"/>
  <c r="HV27" i="17"/>
  <c r="HW27" i="17"/>
  <c r="HX27" i="17"/>
  <c r="HY27" i="17"/>
  <c r="HZ27" i="17"/>
  <c r="IA27" i="17"/>
  <c r="IB27" i="17"/>
  <c r="IC27" i="17"/>
  <c r="ID27" i="17"/>
  <c r="IE27" i="17"/>
  <c r="IF27" i="17"/>
  <c r="IG27" i="17"/>
  <c r="IH27" i="17"/>
  <c r="II27" i="17"/>
  <c r="IJ27" i="17"/>
  <c r="IK27" i="17"/>
  <c r="IL27" i="17"/>
  <c r="IM27" i="17"/>
  <c r="IN27" i="17"/>
  <c r="IO27" i="17"/>
  <c r="IP27" i="17"/>
  <c r="IQ27" i="17"/>
  <c r="IR27" i="17"/>
  <c r="IS27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AS28" i="17"/>
  <c r="AT28" i="17"/>
  <c r="AU28" i="17"/>
  <c r="AV28" i="17"/>
  <c r="AW28" i="17"/>
  <c r="AX28" i="17"/>
  <c r="AY28" i="17"/>
  <c r="AZ28" i="17"/>
  <c r="BA28" i="17"/>
  <c r="BB28" i="17"/>
  <c r="BC28" i="17"/>
  <c r="BD28" i="17"/>
  <c r="BE28" i="17"/>
  <c r="BF28" i="17"/>
  <c r="BG28" i="17"/>
  <c r="BH28" i="17"/>
  <c r="BI28" i="17"/>
  <c r="BJ28" i="17"/>
  <c r="BK28" i="17"/>
  <c r="BL28" i="17"/>
  <c r="BM28" i="17"/>
  <c r="BN28" i="17"/>
  <c r="BO28" i="17"/>
  <c r="BP28" i="17"/>
  <c r="BQ28" i="17"/>
  <c r="BR28" i="17"/>
  <c r="BS28" i="17"/>
  <c r="BT28" i="17"/>
  <c r="BU28" i="17"/>
  <c r="BV28" i="17"/>
  <c r="BW28" i="17"/>
  <c r="BX28" i="17"/>
  <c r="BY28" i="17"/>
  <c r="BZ28" i="17"/>
  <c r="CA28" i="17"/>
  <c r="CB28" i="17"/>
  <c r="CC28" i="17"/>
  <c r="CD28" i="17"/>
  <c r="CE28" i="17"/>
  <c r="CF28" i="17"/>
  <c r="CG28" i="17"/>
  <c r="CH28" i="17"/>
  <c r="CI28" i="17"/>
  <c r="CJ28" i="17"/>
  <c r="CK28" i="17"/>
  <c r="CL28" i="17"/>
  <c r="CM28" i="17"/>
  <c r="CN28" i="17"/>
  <c r="CO28" i="17"/>
  <c r="CP28" i="17"/>
  <c r="CQ28" i="17"/>
  <c r="CR28" i="17"/>
  <c r="CS28" i="17"/>
  <c r="CT28" i="17"/>
  <c r="CU28" i="17"/>
  <c r="CV28" i="17"/>
  <c r="CW28" i="17"/>
  <c r="CX28" i="17"/>
  <c r="CY28" i="17"/>
  <c r="CZ28" i="17"/>
  <c r="DA28" i="17"/>
  <c r="DB28" i="17"/>
  <c r="DC28" i="17"/>
  <c r="DD28" i="17"/>
  <c r="DE28" i="17"/>
  <c r="DF28" i="17"/>
  <c r="DG28" i="17"/>
  <c r="DH28" i="17"/>
  <c r="DI28" i="17"/>
  <c r="DJ28" i="17"/>
  <c r="DK28" i="17"/>
  <c r="DL28" i="17"/>
  <c r="DM28" i="17"/>
  <c r="DN28" i="17"/>
  <c r="DO28" i="17"/>
  <c r="DP28" i="17"/>
  <c r="DQ28" i="17"/>
  <c r="DR28" i="17"/>
  <c r="DS28" i="17"/>
  <c r="DT28" i="17"/>
  <c r="DU28" i="17"/>
  <c r="DV28" i="17"/>
  <c r="DW28" i="17"/>
  <c r="DX28" i="17"/>
  <c r="DY28" i="17"/>
  <c r="DZ28" i="17"/>
  <c r="EA28" i="17"/>
  <c r="EB28" i="17"/>
  <c r="EC28" i="17"/>
  <c r="ED28" i="17"/>
  <c r="EE28" i="17"/>
  <c r="EF28" i="17"/>
  <c r="EG28" i="17"/>
  <c r="EH28" i="17"/>
  <c r="EI28" i="17"/>
  <c r="EJ28" i="17"/>
  <c r="EK28" i="17"/>
  <c r="EL28" i="17"/>
  <c r="EM28" i="17"/>
  <c r="EN28" i="17"/>
  <c r="EO28" i="17"/>
  <c r="EP28" i="17"/>
  <c r="EQ28" i="17"/>
  <c r="ER28" i="17"/>
  <c r="ES28" i="17"/>
  <c r="ET28" i="17"/>
  <c r="EU28" i="17"/>
  <c r="EV28" i="17"/>
  <c r="EW28" i="17"/>
  <c r="EX28" i="17"/>
  <c r="EY28" i="17"/>
  <c r="EZ28" i="17"/>
  <c r="FA28" i="17"/>
  <c r="FB28" i="17"/>
  <c r="FC28" i="17"/>
  <c r="FD28" i="17"/>
  <c r="FE28" i="17"/>
  <c r="FF28" i="17"/>
  <c r="FG28" i="17"/>
  <c r="FH28" i="17"/>
  <c r="FI28" i="17"/>
  <c r="FJ28" i="17"/>
  <c r="FK28" i="17"/>
  <c r="FL28" i="17"/>
  <c r="FM28" i="17"/>
  <c r="FN28" i="17"/>
  <c r="FO28" i="17"/>
  <c r="FP28" i="17"/>
  <c r="FQ28" i="17"/>
  <c r="FR28" i="17"/>
  <c r="FS28" i="17"/>
  <c r="FT28" i="17"/>
  <c r="FU28" i="17"/>
  <c r="FV28" i="17"/>
  <c r="FW28" i="17"/>
  <c r="FX28" i="17"/>
  <c r="FY28" i="17"/>
  <c r="FZ28" i="17"/>
  <c r="GA28" i="17"/>
  <c r="GB28" i="17"/>
  <c r="GC28" i="17"/>
  <c r="GD28" i="17"/>
  <c r="GE28" i="17"/>
  <c r="GF28" i="17"/>
  <c r="GG28" i="17"/>
  <c r="GH28" i="17"/>
  <c r="GI28" i="17"/>
  <c r="GJ28" i="17"/>
  <c r="GK28" i="17"/>
  <c r="GL28" i="17"/>
  <c r="GM28" i="17"/>
  <c r="GN28" i="17"/>
  <c r="GO28" i="17"/>
  <c r="GP28" i="17"/>
  <c r="GQ28" i="17"/>
  <c r="GR28" i="17"/>
  <c r="GS28" i="17"/>
  <c r="GT28" i="17"/>
  <c r="GU28" i="17"/>
  <c r="GV28" i="17"/>
  <c r="GW28" i="17"/>
  <c r="GX28" i="17"/>
  <c r="GY28" i="17"/>
  <c r="GZ28" i="17"/>
  <c r="HA28" i="17"/>
  <c r="HB28" i="17"/>
  <c r="HC28" i="17"/>
  <c r="HD28" i="17"/>
  <c r="HE28" i="17"/>
  <c r="HF28" i="17"/>
  <c r="HG28" i="17"/>
  <c r="HH28" i="17"/>
  <c r="HI28" i="17"/>
  <c r="HJ28" i="17"/>
  <c r="HK28" i="17"/>
  <c r="HL28" i="17"/>
  <c r="HM28" i="17"/>
  <c r="HN28" i="17"/>
  <c r="HO28" i="17"/>
  <c r="HP28" i="17"/>
  <c r="HQ28" i="17"/>
  <c r="HR28" i="17"/>
  <c r="HS28" i="17"/>
  <c r="HT28" i="17"/>
  <c r="HU28" i="17"/>
  <c r="HV28" i="17"/>
  <c r="HW28" i="17"/>
  <c r="HX28" i="17"/>
  <c r="HY28" i="17"/>
  <c r="HZ28" i="17"/>
  <c r="IA28" i="17"/>
  <c r="IB28" i="17"/>
  <c r="IC28" i="17"/>
  <c r="ID28" i="17"/>
  <c r="IE28" i="17"/>
  <c r="IF28" i="17"/>
  <c r="IG28" i="17"/>
  <c r="IH28" i="17"/>
  <c r="II28" i="17"/>
  <c r="IJ28" i="17"/>
  <c r="IK28" i="17"/>
  <c r="IL28" i="17"/>
  <c r="IM28" i="17"/>
  <c r="IN28" i="17"/>
  <c r="IO28" i="17"/>
  <c r="IP28" i="17"/>
  <c r="IQ28" i="17"/>
  <c r="IR28" i="17"/>
  <c r="IS28" i="17"/>
  <c r="IT28" i="17"/>
  <c r="IU28" i="17"/>
  <c r="IV28" i="17"/>
  <c r="A29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AS29" i="17"/>
  <c r="AT29" i="17"/>
  <c r="AU29" i="17"/>
  <c r="AV29" i="17"/>
  <c r="AW29" i="17"/>
  <c r="AX29" i="17"/>
  <c r="AY29" i="17"/>
  <c r="AZ29" i="17"/>
  <c r="BA29" i="17"/>
  <c r="BB29" i="17"/>
  <c r="BC29" i="17"/>
  <c r="BD29" i="17"/>
  <c r="BE29" i="17"/>
  <c r="BF29" i="17"/>
  <c r="BG29" i="17"/>
  <c r="BH29" i="17"/>
  <c r="BI29" i="17"/>
  <c r="BJ29" i="17"/>
  <c r="BK29" i="17"/>
  <c r="BL29" i="17"/>
  <c r="BM29" i="17"/>
  <c r="BN29" i="17"/>
  <c r="BO29" i="17"/>
  <c r="BP29" i="17"/>
  <c r="BQ29" i="17"/>
  <c r="BR29" i="17"/>
  <c r="BS29" i="17"/>
  <c r="BT29" i="17"/>
  <c r="BU29" i="17"/>
  <c r="BV29" i="17"/>
  <c r="BW29" i="17"/>
  <c r="BX29" i="17"/>
  <c r="BY29" i="17"/>
  <c r="BZ29" i="17"/>
  <c r="CA29" i="17"/>
  <c r="CB29" i="17"/>
  <c r="CC29" i="17"/>
  <c r="CD29" i="17"/>
  <c r="CE29" i="17"/>
  <c r="CF29" i="17"/>
  <c r="CG29" i="17"/>
  <c r="CH29" i="17"/>
  <c r="CI29" i="17"/>
  <c r="CJ29" i="17"/>
  <c r="CK29" i="17"/>
  <c r="CL29" i="17"/>
  <c r="CM29" i="17"/>
  <c r="CN29" i="17"/>
  <c r="CO29" i="17"/>
  <c r="CP29" i="17"/>
  <c r="CQ29" i="17"/>
  <c r="CR29" i="17"/>
  <c r="CS29" i="17"/>
  <c r="CT29" i="17"/>
  <c r="CU29" i="17"/>
  <c r="CV29" i="17"/>
  <c r="CW29" i="17"/>
  <c r="CX29" i="17"/>
  <c r="CY29" i="17"/>
  <c r="CZ29" i="17"/>
  <c r="DA29" i="17"/>
  <c r="DB29" i="17"/>
  <c r="DC29" i="17"/>
  <c r="DD29" i="17"/>
  <c r="DE29" i="17"/>
  <c r="DF29" i="17"/>
  <c r="DG29" i="17"/>
  <c r="DH29" i="17"/>
  <c r="DI29" i="17"/>
  <c r="DJ29" i="17"/>
  <c r="DK29" i="17"/>
  <c r="DL29" i="17"/>
  <c r="DM29" i="17"/>
  <c r="DN29" i="17"/>
  <c r="DO29" i="17"/>
  <c r="DP29" i="17"/>
  <c r="DQ29" i="17"/>
  <c r="DR29" i="17"/>
  <c r="DS29" i="17"/>
  <c r="DT29" i="17"/>
  <c r="DU29" i="17"/>
  <c r="DV29" i="17"/>
  <c r="DW29" i="17"/>
  <c r="DX29" i="17"/>
  <c r="DY29" i="17"/>
  <c r="DZ29" i="17"/>
  <c r="EA29" i="17"/>
  <c r="EB29" i="17"/>
  <c r="EC29" i="17"/>
  <c r="ED29" i="17"/>
  <c r="EE29" i="17"/>
  <c r="EF29" i="17"/>
  <c r="EG29" i="17"/>
  <c r="EH29" i="17"/>
  <c r="EI29" i="17"/>
  <c r="EJ29" i="17"/>
  <c r="EK29" i="17"/>
  <c r="EL29" i="17"/>
  <c r="EM29" i="17"/>
  <c r="EN29" i="17"/>
  <c r="EO29" i="17"/>
  <c r="EP29" i="17"/>
  <c r="EQ29" i="17"/>
  <c r="ER29" i="17"/>
  <c r="ES29" i="17"/>
  <c r="ET29" i="17"/>
  <c r="EU29" i="17"/>
  <c r="EV29" i="17"/>
  <c r="EW29" i="17"/>
  <c r="EX29" i="17"/>
  <c r="EY29" i="17"/>
  <c r="EZ29" i="17"/>
  <c r="FA29" i="17"/>
  <c r="FB29" i="17"/>
  <c r="FC29" i="17"/>
  <c r="FD29" i="17"/>
  <c r="FE29" i="17"/>
  <c r="FF29" i="17"/>
  <c r="FG29" i="17"/>
  <c r="FH29" i="17"/>
  <c r="FI29" i="17"/>
  <c r="FJ29" i="17"/>
  <c r="FK29" i="17"/>
  <c r="FL29" i="17"/>
  <c r="FM29" i="17"/>
  <c r="FN29" i="17"/>
  <c r="FO29" i="17"/>
  <c r="FP29" i="17"/>
  <c r="FQ29" i="17"/>
  <c r="FR29" i="17"/>
  <c r="FS29" i="17"/>
  <c r="FT29" i="17"/>
  <c r="FU29" i="17"/>
  <c r="FV29" i="17"/>
  <c r="FW29" i="17"/>
  <c r="FX29" i="17"/>
  <c r="FY29" i="17"/>
  <c r="FZ29" i="17"/>
  <c r="GA29" i="17"/>
  <c r="GB29" i="17"/>
  <c r="GC29" i="17"/>
  <c r="GD29" i="17"/>
  <c r="GE29" i="17"/>
  <c r="GF29" i="17"/>
  <c r="GG29" i="17"/>
  <c r="GH29" i="17"/>
  <c r="GI29" i="17"/>
  <c r="GJ29" i="17"/>
  <c r="GK29" i="17"/>
  <c r="GL29" i="17"/>
  <c r="GM29" i="17"/>
  <c r="GN29" i="17"/>
  <c r="GO29" i="17"/>
  <c r="GP29" i="17"/>
  <c r="GQ29" i="17"/>
  <c r="GR29" i="17"/>
  <c r="GS29" i="17"/>
  <c r="GT29" i="17"/>
  <c r="GU29" i="17"/>
  <c r="GV29" i="17"/>
  <c r="GW29" i="17"/>
  <c r="GX29" i="17"/>
  <c r="GY29" i="17"/>
  <c r="GZ29" i="17"/>
  <c r="HA29" i="17"/>
  <c r="HB29" i="17"/>
  <c r="HC29" i="17"/>
  <c r="HD29" i="17"/>
  <c r="HE29" i="17"/>
  <c r="HF29" i="17"/>
  <c r="HG29" i="17"/>
  <c r="HH29" i="17"/>
  <c r="HI29" i="17"/>
  <c r="HJ29" i="17"/>
  <c r="HK29" i="17"/>
  <c r="HL29" i="17"/>
  <c r="HM29" i="17"/>
  <c r="HN29" i="17"/>
  <c r="HO29" i="17"/>
  <c r="HP29" i="17"/>
  <c r="HQ29" i="17"/>
  <c r="HR29" i="17"/>
  <c r="HS29" i="17"/>
  <c r="HT29" i="17"/>
  <c r="HU29" i="17"/>
  <c r="HV29" i="17"/>
  <c r="HW29" i="17"/>
  <c r="HX29" i="17"/>
  <c r="HY29" i="17"/>
  <c r="HZ29" i="17"/>
  <c r="IA29" i="17"/>
  <c r="IB29" i="17"/>
  <c r="IC29" i="17"/>
  <c r="ID29" i="17"/>
  <c r="IE29" i="17"/>
  <c r="IF29" i="17"/>
  <c r="IG29" i="17"/>
  <c r="IH29" i="17"/>
  <c r="II29" i="17"/>
  <c r="IJ29" i="17"/>
  <c r="IK29" i="17"/>
  <c r="IL29" i="17"/>
  <c r="IM29" i="17"/>
  <c r="IN29" i="17"/>
  <c r="IO29" i="17"/>
  <c r="IP29" i="17"/>
  <c r="IQ29" i="17"/>
  <c r="IR29" i="17"/>
  <c r="IS29" i="17"/>
  <c r="IT29" i="17"/>
  <c r="IU29" i="17"/>
  <c r="IV29" i="17"/>
  <c r="A30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O30" i="17"/>
  <c r="P30" i="17"/>
  <c r="Q30" i="17"/>
  <c r="R30" i="17"/>
  <c r="S30" i="17"/>
  <c r="T30" i="17"/>
  <c r="U30" i="17"/>
  <c r="V30" i="17"/>
  <c r="W30" i="17"/>
  <c r="X30" i="17"/>
  <c r="Y30" i="17"/>
  <c r="Z30" i="17"/>
  <c r="AA30" i="17"/>
  <c r="AB30" i="17"/>
  <c r="AC30" i="17"/>
  <c r="AD30" i="17"/>
  <c r="AE30" i="17"/>
  <c r="AF30" i="17"/>
  <c r="AG30" i="17"/>
  <c r="AH30" i="17"/>
  <c r="AI30" i="17"/>
  <c r="AJ30" i="17"/>
  <c r="AK30" i="17"/>
  <c r="AL30" i="17"/>
  <c r="AM30" i="17"/>
  <c r="AN30" i="17"/>
  <c r="AO30" i="17"/>
  <c r="AP30" i="17"/>
  <c r="AQ30" i="17"/>
  <c r="AR30" i="17"/>
  <c r="AS30" i="17"/>
  <c r="AT30" i="17"/>
  <c r="AU30" i="17"/>
  <c r="AV30" i="17"/>
  <c r="AW30" i="17"/>
  <c r="AX30" i="17"/>
  <c r="AY30" i="17"/>
  <c r="AZ30" i="17"/>
  <c r="BA30" i="17"/>
  <c r="BB30" i="17"/>
  <c r="BC30" i="17"/>
  <c r="BD30" i="17"/>
  <c r="BE30" i="17"/>
  <c r="BF30" i="17"/>
  <c r="BG30" i="17"/>
  <c r="BH30" i="17"/>
  <c r="BI30" i="17"/>
  <c r="BJ30" i="17"/>
  <c r="BK30" i="17"/>
  <c r="BL30" i="17"/>
  <c r="BM30" i="17"/>
  <c r="BN30" i="17"/>
  <c r="BO30" i="17"/>
  <c r="BP30" i="17"/>
  <c r="BQ30" i="17"/>
  <c r="BR30" i="17"/>
  <c r="BS30" i="17"/>
  <c r="BT30" i="17"/>
  <c r="BU30" i="17"/>
  <c r="BV30" i="17"/>
  <c r="BW30" i="17"/>
  <c r="BX30" i="17"/>
  <c r="BY30" i="17"/>
  <c r="BZ30" i="17"/>
  <c r="CA30" i="17"/>
  <c r="CB30" i="17"/>
  <c r="CC30" i="17"/>
  <c r="CD30" i="17"/>
  <c r="CE30" i="17"/>
  <c r="CF30" i="17"/>
  <c r="CG30" i="17"/>
  <c r="CH30" i="17"/>
  <c r="CI30" i="17"/>
  <c r="CJ30" i="17"/>
  <c r="CK30" i="17"/>
  <c r="CL30" i="17"/>
  <c r="CM30" i="17"/>
  <c r="CN30" i="17"/>
  <c r="CO30" i="17"/>
  <c r="CP30" i="17"/>
  <c r="CQ30" i="17"/>
  <c r="CR30" i="17"/>
  <c r="CS30" i="17"/>
  <c r="CT30" i="17"/>
  <c r="CU30" i="17"/>
  <c r="CV30" i="17"/>
  <c r="CW30" i="17"/>
  <c r="CX30" i="17"/>
  <c r="CY30" i="17"/>
  <c r="CZ30" i="17"/>
  <c r="DA30" i="17"/>
  <c r="DB30" i="17"/>
  <c r="DC30" i="17"/>
  <c r="DD30" i="17"/>
  <c r="DE30" i="17"/>
  <c r="DF30" i="17"/>
  <c r="DG30" i="17"/>
  <c r="DH30" i="17"/>
  <c r="DI30" i="17"/>
  <c r="DJ30" i="17"/>
  <c r="DK30" i="17"/>
  <c r="DL30" i="17"/>
  <c r="DM30" i="17"/>
  <c r="DN30" i="17"/>
  <c r="DO30" i="17"/>
  <c r="DP30" i="17"/>
  <c r="DQ30" i="17"/>
  <c r="DR30" i="17"/>
  <c r="DS30" i="17"/>
  <c r="DT30" i="17"/>
  <c r="DU30" i="17"/>
  <c r="DV30" i="17"/>
  <c r="DW30" i="17"/>
  <c r="DX30" i="17"/>
  <c r="DY30" i="17"/>
  <c r="DZ30" i="17"/>
  <c r="EA30" i="17"/>
  <c r="EB30" i="17"/>
  <c r="EC30" i="17"/>
  <c r="ED30" i="17"/>
  <c r="EE30" i="17"/>
  <c r="EF30" i="17"/>
  <c r="EG30" i="17"/>
  <c r="EH30" i="17"/>
  <c r="EI30" i="17"/>
  <c r="EJ30" i="17"/>
  <c r="EK30" i="17"/>
  <c r="EL30" i="17"/>
  <c r="EM30" i="17"/>
  <c r="EN30" i="17"/>
  <c r="EO30" i="17"/>
  <c r="EP30" i="17"/>
  <c r="EQ30" i="17"/>
  <c r="ER30" i="17"/>
  <c r="ES30" i="17"/>
  <c r="ET30" i="17"/>
  <c r="EU30" i="17"/>
  <c r="EV30" i="17"/>
  <c r="EW30" i="17"/>
  <c r="EX30" i="17"/>
  <c r="EY30" i="17"/>
  <c r="EZ30" i="17"/>
  <c r="FA30" i="17"/>
  <c r="FB30" i="17"/>
  <c r="FC30" i="17"/>
  <c r="FD30" i="17"/>
  <c r="FE30" i="17"/>
  <c r="FF30" i="17"/>
  <c r="FG30" i="17"/>
  <c r="FH30" i="17"/>
  <c r="FI30" i="17"/>
  <c r="FJ30" i="17"/>
  <c r="FK30" i="17"/>
  <c r="FL30" i="17"/>
  <c r="FM30" i="17"/>
  <c r="FN30" i="17"/>
  <c r="FO30" i="17"/>
  <c r="FP30" i="17"/>
  <c r="FQ30" i="17"/>
  <c r="FR30" i="17"/>
  <c r="FS30" i="17"/>
  <c r="FT30" i="17"/>
  <c r="FU30" i="17"/>
  <c r="FV30" i="17"/>
  <c r="FW30" i="17"/>
  <c r="FX30" i="17"/>
  <c r="FY30" i="17"/>
  <c r="FZ30" i="17"/>
  <c r="GA30" i="17"/>
  <c r="GB30" i="17"/>
  <c r="GC30" i="17"/>
  <c r="GD30" i="17"/>
  <c r="GE30" i="17"/>
  <c r="GF30" i="17"/>
  <c r="GG30" i="17"/>
  <c r="GH30" i="17"/>
  <c r="GI30" i="17"/>
  <c r="GJ30" i="17"/>
  <c r="GK30" i="17"/>
  <c r="GL30" i="17"/>
  <c r="GM30" i="17"/>
  <c r="GN30" i="17"/>
  <c r="GO30" i="17"/>
  <c r="GP30" i="17"/>
  <c r="GQ30" i="17"/>
  <c r="GR30" i="17"/>
  <c r="GS30" i="17"/>
  <c r="GT30" i="17"/>
  <c r="GU30" i="17"/>
  <c r="GV30" i="17"/>
  <c r="GW30" i="17"/>
  <c r="GX30" i="17"/>
  <c r="GY30" i="17"/>
  <c r="GZ30" i="17"/>
  <c r="HA30" i="17"/>
  <c r="HB30" i="17"/>
  <c r="HC30" i="17"/>
  <c r="HD30" i="17"/>
  <c r="HE30" i="17"/>
  <c r="HF30" i="17"/>
  <c r="HG30" i="17"/>
  <c r="HH30" i="17"/>
  <c r="HI30" i="17"/>
  <c r="HJ30" i="17"/>
  <c r="HK30" i="17"/>
  <c r="HL30" i="17"/>
  <c r="HM30" i="17"/>
  <c r="HN30" i="17"/>
  <c r="HO30" i="17"/>
  <c r="HP30" i="17"/>
  <c r="HQ30" i="17"/>
  <c r="HR30" i="17"/>
  <c r="HS30" i="17"/>
  <c r="HT30" i="17"/>
  <c r="HU30" i="17"/>
  <c r="HV30" i="17"/>
  <c r="HW30" i="17"/>
  <c r="HX30" i="17"/>
  <c r="HY30" i="17"/>
  <c r="HZ30" i="17"/>
  <c r="IA30" i="17"/>
  <c r="IB30" i="17"/>
  <c r="IC30" i="17"/>
  <c r="ID30" i="17"/>
  <c r="IE30" i="17"/>
  <c r="IF30" i="17"/>
  <c r="IG30" i="17"/>
  <c r="IH30" i="17"/>
  <c r="II30" i="17"/>
  <c r="IJ30" i="17"/>
  <c r="IK30" i="17"/>
  <c r="IL30" i="17"/>
  <c r="IM30" i="17"/>
  <c r="IN30" i="17"/>
  <c r="IO30" i="17"/>
  <c r="IP30" i="17"/>
  <c r="IQ30" i="17"/>
  <c r="IR30" i="17"/>
  <c r="IS30" i="17"/>
  <c r="IT30" i="17"/>
  <c r="IU30" i="17"/>
  <c r="IV30" i="17"/>
  <c r="A31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AS31" i="17"/>
  <c r="AT31" i="17"/>
  <c r="AU31" i="17"/>
  <c r="AV31" i="17"/>
  <c r="AW31" i="17"/>
  <c r="AX31" i="17"/>
  <c r="AY31" i="17"/>
  <c r="AZ31" i="17"/>
  <c r="BA31" i="17"/>
  <c r="BB31" i="17"/>
  <c r="BC31" i="17"/>
  <c r="BD31" i="17"/>
  <c r="BE31" i="17"/>
  <c r="BF31" i="17"/>
  <c r="BG31" i="17"/>
  <c r="BH31" i="17"/>
  <c r="BI31" i="17"/>
  <c r="BJ31" i="17"/>
  <c r="BK31" i="17"/>
  <c r="BL31" i="17"/>
  <c r="BM31" i="17"/>
  <c r="BN31" i="17"/>
  <c r="BO31" i="17"/>
  <c r="BP31" i="17"/>
  <c r="BQ31" i="17"/>
  <c r="BR31" i="17"/>
  <c r="BS31" i="17"/>
  <c r="BT31" i="17"/>
  <c r="BU31" i="17"/>
  <c r="BV31" i="17"/>
  <c r="BW31" i="17"/>
  <c r="BX31" i="17"/>
  <c r="BY31" i="17"/>
  <c r="BZ31" i="17"/>
  <c r="CA31" i="17"/>
  <c r="CB31" i="17"/>
  <c r="CC31" i="17"/>
  <c r="CD31" i="17"/>
  <c r="CE31" i="17"/>
  <c r="CF31" i="17"/>
  <c r="CG31" i="17"/>
  <c r="CH31" i="17"/>
  <c r="CI31" i="17"/>
  <c r="CJ31" i="17"/>
  <c r="CK31" i="17"/>
  <c r="CL31" i="17"/>
  <c r="CM31" i="17"/>
  <c r="CN31" i="17"/>
  <c r="CO31" i="17"/>
  <c r="CP31" i="17"/>
  <c r="CQ31" i="17"/>
  <c r="CR31" i="17"/>
  <c r="CS31" i="17"/>
  <c r="CT31" i="17"/>
  <c r="CU31" i="17"/>
  <c r="CV31" i="17"/>
  <c r="CW31" i="17"/>
  <c r="CX31" i="17"/>
  <c r="CY31" i="17"/>
  <c r="CZ31" i="17"/>
  <c r="DA31" i="17"/>
  <c r="DB31" i="17"/>
  <c r="DC31" i="17"/>
  <c r="DD31" i="17"/>
  <c r="DE31" i="17"/>
  <c r="DF31" i="17"/>
  <c r="DG31" i="17"/>
  <c r="DH31" i="17"/>
  <c r="DI31" i="17"/>
  <c r="DJ31" i="17"/>
  <c r="DK31" i="17"/>
  <c r="DL31" i="17"/>
  <c r="DM31" i="17"/>
  <c r="DN31" i="17"/>
  <c r="DO31" i="17"/>
  <c r="DP31" i="17"/>
  <c r="DQ31" i="17"/>
  <c r="DR31" i="17"/>
  <c r="DS31" i="17"/>
  <c r="DT31" i="17"/>
  <c r="DU31" i="17"/>
  <c r="DV31" i="17"/>
  <c r="DW31" i="17"/>
  <c r="DX31" i="17"/>
  <c r="DY31" i="17"/>
  <c r="DZ31" i="17"/>
  <c r="EA31" i="17"/>
  <c r="EB31" i="17"/>
  <c r="EC31" i="17"/>
  <c r="ED31" i="17"/>
  <c r="EE31" i="17"/>
  <c r="EF31" i="17"/>
  <c r="EG31" i="17"/>
  <c r="EH31" i="17"/>
  <c r="EI31" i="17"/>
  <c r="EJ31" i="17"/>
  <c r="EK31" i="17"/>
  <c r="EL31" i="17"/>
  <c r="EM31" i="17"/>
  <c r="EN31" i="17"/>
  <c r="EO31" i="17"/>
  <c r="EP31" i="17"/>
  <c r="EQ31" i="17"/>
  <c r="ER31" i="17"/>
  <c r="ES31" i="17"/>
  <c r="ET31" i="17"/>
  <c r="EU31" i="17"/>
  <c r="EV31" i="17"/>
  <c r="EW31" i="17"/>
  <c r="EX31" i="17"/>
  <c r="EY31" i="17"/>
  <c r="EZ31" i="17"/>
  <c r="FA31" i="17"/>
  <c r="FB31" i="17"/>
  <c r="FC31" i="17"/>
  <c r="FD31" i="17"/>
  <c r="FE31" i="17"/>
  <c r="FF31" i="17"/>
  <c r="FG31" i="17"/>
  <c r="FH31" i="17"/>
  <c r="FI31" i="17"/>
  <c r="FJ31" i="17"/>
  <c r="FK31" i="17"/>
  <c r="FL31" i="17"/>
  <c r="FM31" i="17"/>
  <c r="FN31" i="17"/>
  <c r="FO31" i="17"/>
  <c r="FP31" i="17"/>
  <c r="FQ31" i="17"/>
  <c r="FR31" i="17"/>
  <c r="FS31" i="17"/>
  <c r="FT31" i="17"/>
  <c r="FU31" i="17"/>
  <c r="FV31" i="17"/>
  <c r="FW31" i="17"/>
  <c r="FX31" i="17"/>
  <c r="FY31" i="17"/>
  <c r="FZ31" i="17"/>
  <c r="GA31" i="17"/>
  <c r="GB31" i="17"/>
  <c r="GC31" i="17"/>
  <c r="GD31" i="17"/>
  <c r="GE31" i="17"/>
  <c r="GF31" i="17"/>
  <c r="GG31" i="17"/>
  <c r="GH31" i="17"/>
  <c r="GI31" i="17"/>
  <c r="GJ31" i="17"/>
  <c r="GK31" i="17"/>
  <c r="GL31" i="17"/>
  <c r="GM31" i="17"/>
  <c r="GN31" i="17"/>
  <c r="GO31" i="17"/>
  <c r="GP31" i="17"/>
  <c r="GQ31" i="17"/>
  <c r="GR31" i="17"/>
  <c r="GS31" i="17"/>
  <c r="GT31" i="17"/>
  <c r="GU31" i="17"/>
  <c r="GV31" i="17"/>
  <c r="GW31" i="17"/>
  <c r="GX31" i="17"/>
  <c r="GY31" i="17"/>
  <c r="GZ31" i="17"/>
  <c r="HA31" i="17"/>
  <c r="HB31" i="17"/>
  <c r="HC31" i="17"/>
  <c r="HD31" i="17"/>
  <c r="HE31" i="17"/>
  <c r="HF31" i="17"/>
  <c r="HG31" i="17"/>
  <c r="HH31" i="17"/>
  <c r="HI31" i="17"/>
  <c r="HJ31" i="17"/>
  <c r="HK31" i="17"/>
  <c r="HL31" i="17"/>
  <c r="HM31" i="17"/>
  <c r="HN31" i="17"/>
  <c r="HO31" i="17"/>
  <c r="HP31" i="17"/>
  <c r="HQ31" i="17"/>
  <c r="HR31" i="17"/>
  <c r="HS31" i="17"/>
  <c r="HT31" i="17"/>
  <c r="HU31" i="17"/>
  <c r="HV31" i="17"/>
  <c r="HW31" i="17"/>
  <c r="HX31" i="17"/>
  <c r="HY31" i="17"/>
  <c r="HZ31" i="17"/>
  <c r="IA31" i="17"/>
  <c r="IB31" i="17"/>
  <c r="IC31" i="17"/>
  <c r="ID31" i="17"/>
  <c r="IE31" i="17"/>
  <c r="IF31" i="17"/>
  <c r="IG31" i="17"/>
  <c r="IH31" i="17"/>
  <c r="II31" i="17"/>
  <c r="IJ31" i="17"/>
  <c r="IK31" i="17"/>
  <c r="IL31" i="17"/>
  <c r="IM31" i="17"/>
  <c r="IN31" i="17"/>
  <c r="IO31" i="17"/>
  <c r="IP31" i="17"/>
  <c r="IQ31" i="17"/>
  <c r="IR31" i="17"/>
  <c r="IS31" i="17"/>
  <c r="IT31" i="17"/>
  <c r="IU31" i="17"/>
  <c r="IV31" i="17"/>
  <c r="A32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AS32" i="17"/>
  <c r="AT32" i="17"/>
  <c r="AU32" i="17"/>
  <c r="AV32" i="17"/>
  <c r="AW32" i="17"/>
  <c r="AX32" i="17"/>
  <c r="AY32" i="17"/>
  <c r="AZ32" i="17"/>
  <c r="BA32" i="17"/>
  <c r="BB32" i="17"/>
  <c r="BC32" i="17"/>
  <c r="BD32" i="17"/>
  <c r="BE32" i="17"/>
  <c r="BF32" i="17"/>
  <c r="BG32" i="17"/>
  <c r="BH32" i="17"/>
  <c r="BI32" i="17"/>
  <c r="BJ32" i="17"/>
  <c r="BK32" i="17"/>
  <c r="BL32" i="17"/>
  <c r="BM32" i="17"/>
  <c r="BN32" i="17"/>
  <c r="BO32" i="17"/>
  <c r="BP32" i="17"/>
  <c r="BQ32" i="17"/>
  <c r="BR32" i="17"/>
  <c r="BS32" i="17"/>
  <c r="BT32" i="17"/>
  <c r="BU32" i="17"/>
  <c r="BV32" i="17"/>
  <c r="BW32" i="17"/>
  <c r="BX32" i="17"/>
  <c r="BY32" i="17"/>
  <c r="BZ32" i="17"/>
  <c r="CA32" i="17"/>
  <c r="CB32" i="17"/>
  <c r="CC32" i="17"/>
  <c r="CD32" i="17"/>
  <c r="CE32" i="17"/>
  <c r="CF32" i="17"/>
  <c r="CG32" i="17"/>
  <c r="CH32" i="17"/>
  <c r="CI32" i="17"/>
  <c r="CJ32" i="17"/>
  <c r="CK32" i="17"/>
  <c r="CL32" i="17"/>
  <c r="CM32" i="17"/>
  <c r="CN32" i="17"/>
  <c r="CO32" i="17"/>
  <c r="CP32" i="17"/>
  <c r="CQ32" i="17"/>
  <c r="CR32" i="17"/>
  <c r="CS32" i="17"/>
  <c r="CT32" i="17"/>
  <c r="CU32" i="17"/>
  <c r="CV32" i="17"/>
  <c r="CW32" i="17"/>
  <c r="CX32" i="17"/>
  <c r="CY32" i="17"/>
  <c r="CZ32" i="17"/>
  <c r="DA32" i="17"/>
  <c r="DB32" i="17"/>
  <c r="DC32" i="17"/>
  <c r="DD32" i="17"/>
  <c r="DE32" i="17"/>
  <c r="DF32" i="17"/>
  <c r="DG32" i="17"/>
  <c r="DH32" i="17"/>
  <c r="DI32" i="17"/>
  <c r="DJ32" i="17"/>
  <c r="DK32" i="17"/>
  <c r="DL32" i="17"/>
  <c r="DM32" i="17"/>
  <c r="DN32" i="17"/>
  <c r="DO32" i="17"/>
  <c r="DP32" i="17"/>
  <c r="DQ32" i="17"/>
  <c r="DR32" i="17"/>
  <c r="DS32" i="17"/>
  <c r="DT32" i="17"/>
  <c r="DU32" i="17"/>
  <c r="DV32" i="17"/>
  <c r="DW32" i="17"/>
  <c r="DX32" i="17"/>
  <c r="DY32" i="17"/>
  <c r="DZ32" i="17"/>
  <c r="EA32" i="17"/>
  <c r="EB32" i="17"/>
  <c r="EC32" i="17"/>
  <c r="ED32" i="17"/>
  <c r="EE32" i="17"/>
  <c r="EF32" i="17"/>
  <c r="EG32" i="17"/>
  <c r="EH32" i="17"/>
  <c r="EI32" i="17"/>
  <c r="EJ32" i="17"/>
  <c r="EK32" i="17"/>
  <c r="EL32" i="17"/>
  <c r="EM32" i="17"/>
  <c r="EN32" i="17"/>
  <c r="EO32" i="17"/>
  <c r="EP32" i="17"/>
  <c r="EQ32" i="17"/>
  <c r="ER32" i="17"/>
  <c r="ES32" i="17"/>
  <c r="ET32" i="17"/>
  <c r="EU32" i="17"/>
  <c r="EV32" i="17"/>
  <c r="EW32" i="17"/>
  <c r="EX32" i="17"/>
  <c r="EY32" i="17"/>
  <c r="EZ32" i="17"/>
  <c r="FA32" i="17"/>
  <c r="FB32" i="17"/>
  <c r="FC32" i="17"/>
  <c r="FD32" i="17"/>
  <c r="FE32" i="17"/>
  <c r="FF32" i="17"/>
  <c r="FG32" i="17"/>
  <c r="FH32" i="17"/>
  <c r="FI32" i="17"/>
  <c r="FJ32" i="17"/>
  <c r="FK32" i="17"/>
  <c r="FL32" i="17"/>
  <c r="FM32" i="17"/>
  <c r="FN32" i="17"/>
  <c r="FO32" i="17"/>
  <c r="FP32" i="17"/>
  <c r="FQ32" i="17"/>
  <c r="FR32" i="17"/>
  <c r="FS32" i="17"/>
  <c r="FT32" i="17"/>
  <c r="FU32" i="17"/>
  <c r="FV32" i="17"/>
  <c r="FW32" i="17"/>
  <c r="FX32" i="17"/>
  <c r="FY32" i="17"/>
  <c r="FZ32" i="17"/>
  <c r="GA32" i="17"/>
  <c r="GB32" i="17"/>
  <c r="GC32" i="17"/>
  <c r="GD32" i="17"/>
  <c r="GE32" i="17"/>
  <c r="GF32" i="17"/>
  <c r="GG32" i="17"/>
  <c r="GH32" i="17"/>
  <c r="GI32" i="17"/>
  <c r="GJ32" i="17"/>
  <c r="GK32" i="17"/>
  <c r="GL32" i="17"/>
  <c r="GM32" i="17"/>
  <c r="GN32" i="17"/>
  <c r="GO32" i="17"/>
  <c r="GP32" i="17"/>
  <c r="GQ32" i="17"/>
  <c r="GR32" i="17"/>
  <c r="GS32" i="17"/>
  <c r="GT32" i="17"/>
  <c r="GU32" i="17"/>
  <c r="GV32" i="17"/>
  <c r="GW32" i="17"/>
  <c r="GX32" i="17"/>
  <c r="GY32" i="17"/>
  <c r="GZ32" i="17"/>
  <c r="HA32" i="17"/>
  <c r="HB32" i="17"/>
  <c r="HC32" i="17"/>
  <c r="HD32" i="17"/>
  <c r="HE32" i="17"/>
  <c r="HF32" i="17"/>
  <c r="HG32" i="17"/>
  <c r="HH32" i="17"/>
  <c r="HI32" i="17"/>
  <c r="HJ32" i="17"/>
  <c r="HK32" i="17"/>
  <c r="HL32" i="17"/>
  <c r="HM32" i="17"/>
  <c r="HN32" i="17"/>
  <c r="HO32" i="17"/>
  <c r="HP32" i="17"/>
  <c r="HQ32" i="17"/>
  <c r="HR32" i="17"/>
  <c r="HS32" i="17"/>
  <c r="HT32" i="17"/>
  <c r="HU32" i="17"/>
  <c r="HV32" i="17"/>
  <c r="HW32" i="17"/>
  <c r="HX32" i="17"/>
  <c r="HY32" i="17"/>
  <c r="HZ32" i="17"/>
  <c r="IA32" i="17"/>
  <c r="IB32" i="17"/>
  <c r="IC32" i="17"/>
  <c r="ID32" i="17"/>
  <c r="IE32" i="17"/>
  <c r="IF32" i="17"/>
  <c r="IG32" i="17"/>
  <c r="IH32" i="17"/>
  <c r="II32" i="17"/>
  <c r="IJ32" i="17"/>
  <c r="IK32" i="17"/>
  <c r="IL32" i="17"/>
  <c r="IM32" i="17"/>
  <c r="IN32" i="17"/>
  <c r="IO32" i="17"/>
  <c r="IP32" i="17"/>
  <c r="IQ32" i="17"/>
  <c r="IR32" i="17"/>
  <c r="IS32" i="17"/>
  <c r="IT32" i="17"/>
  <c r="IU32" i="17"/>
  <c r="IV32" i="17"/>
  <c r="A33" i="17"/>
  <c r="B33" i="17"/>
  <c r="C33" i="17"/>
  <c r="D33" i="17"/>
  <c r="E33" i="17"/>
  <c r="F33" i="17"/>
  <c r="H33" i="17"/>
  <c r="I33" i="17"/>
  <c r="J33" i="17"/>
  <c r="K33" i="17"/>
  <c r="L33" i="17"/>
  <c r="M33" i="17"/>
  <c r="N33" i="17"/>
  <c r="O33" i="17"/>
  <c r="P33" i="17"/>
  <c r="Q33" i="17"/>
  <c r="R33" i="17"/>
  <c r="S33" i="17"/>
  <c r="T33" i="17"/>
  <c r="U33" i="17"/>
  <c r="V33" i="17"/>
  <c r="W33" i="17"/>
  <c r="X33" i="17"/>
  <c r="Y33" i="17"/>
  <c r="Z33" i="17"/>
  <c r="AA33" i="17"/>
  <c r="AB33" i="17"/>
  <c r="AC33" i="17"/>
  <c r="AD33" i="17"/>
  <c r="AE33" i="17"/>
  <c r="AF33" i="17"/>
  <c r="AG33" i="17"/>
  <c r="AH33" i="17"/>
  <c r="AI33" i="17"/>
  <c r="AJ33" i="17"/>
  <c r="AK33" i="17"/>
  <c r="AL33" i="17"/>
  <c r="AM33" i="17"/>
  <c r="AN33" i="17"/>
  <c r="AO33" i="17"/>
  <c r="AP33" i="17"/>
  <c r="AQ33" i="17"/>
  <c r="AR33" i="17"/>
  <c r="AS33" i="17"/>
  <c r="AT33" i="17"/>
  <c r="AU33" i="17"/>
  <c r="AV33" i="17"/>
  <c r="AW33" i="17"/>
  <c r="AX33" i="17"/>
  <c r="AY33" i="17"/>
  <c r="AZ33" i="17"/>
  <c r="BA33" i="17"/>
  <c r="BB33" i="17"/>
  <c r="BC33" i="17"/>
  <c r="BD33" i="17"/>
  <c r="BE33" i="17"/>
  <c r="BF33" i="17"/>
  <c r="BG33" i="17"/>
  <c r="BH33" i="17"/>
  <c r="BI33" i="17"/>
  <c r="BJ33" i="17"/>
  <c r="BK33" i="17"/>
  <c r="BL33" i="17"/>
  <c r="BM33" i="17"/>
  <c r="BN33" i="17"/>
  <c r="BO33" i="17"/>
  <c r="BP33" i="17"/>
  <c r="BQ33" i="17"/>
  <c r="BR33" i="17"/>
  <c r="BS33" i="17"/>
  <c r="BT33" i="17"/>
  <c r="BU33" i="17"/>
  <c r="BV33" i="17"/>
  <c r="BW33" i="17"/>
  <c r="BX33" i="17"/>
  <c r="BY33" i="17"/>
  <c r="BZ33" i="17"/>
  <c r="CA33" i="17"/>
  <c r="CB33" i="17"/>
  <c r="CC33" i="17"/>
  <c r="CD33" i="17"/>
  <c r="CE33" i="17"/>
  <c r="CF33" i="17"/>
  <c r="CG33" i="17"/>
  <c r="CH33" i="17"/>
  <c r="CI33" i="17"/>
  <c r="CJ33" i="17"/>
  <c r="CK33" i="17"/>
  <c r="CL33" i="17"/>
  <c r="CM33" i="17"/>
  <c r="CN33" i="17"/>
  <c r="CO33" i="17"/>
  <c r="CP33" i="17"/>
  <c r="CQ33" i="17"/>
  <c r="CR33" i="17"/>
  <c r="CS33" i="17"/>
  <c r="CT33" i="17"/>
  <c r="CU33" i="17"/>
  <c r="CV33" i="17"/>
  <c r="CW33" i="17"/>
  <c r="CX33" i="17"/>
  <c r="CY33" i="17"/>
  <c r="CZ33" i="17"/>
  <c r="DA33" i="17"/>
  <c r="DB33" i="17"/>
  <c r="DC33" i="17"/>
  <c r="DD33" i="17"/>
  <c r="DE33" i="17"/>
  <c r="DF33" i="17"/>
  <c r="DG33" i="17"/>
  <c r="DH33" i="17"/>
  <c r="DI33" i="17"/>
  <c r="DJ33" i="17"/>
  <c r="DK33" i="17"/>
  <c r="DL33" i="17"/>
  <c r="DM33" i="17"/>
  <c r="DN33" i="17"/>
  <c r="DO33" i="17"/>
  <c r="DP33" i="17"/>
  <c r="DQ33" i="17"/>
  <c r="DR33" i="17"/>
  <c r="DS33" i="17"/>
  <c r="DT33" i="17"/>
  <c r="DU33" i="17"/>
  <c r="DV33" i="17"/>
  <c r="DW33" i="17"/>
  <c r="DX33" i="17"/>
  <c r="DY33" i="17"/>
  <c r="DZ33" i="17"/>
  <c r="EA33" i="17"/>
  <c r="EB33" i="17"/>
  <c r="EC33" i="17"/>
  <c r="ED33" i="17"/>
  <c r="EE33" i="17"/>
  <c r="EF33" i="17"/>
  <c r="EG33" i="17"/>
  <c r="EH33" i="17"/>
  <c r="EI33" i="17"/>
  <c r="EJ33" i="17"/>
  <c r="EK33" i="17"/>
  <c r="EL33" i="17"/>
  <c r="EM33" i="17"/>
  <c r="EN33" i="17"/>
  <c r="EO33" i="17"/>
  <c r="EP33" i="17"/>
  <c r="EQ33" i="17"/>
  <c r="ER33" i="17"/>
  <c r="ES33" i="17"/>
  <c r="ET33" i="17"/>
  <c r="EU33" i="17"/>
  <c r="EV33" i="17"/>
  <c r="EW33" i="17"/>
  <c r="EX33" i="17"/>
  <c r="EY33" i="17"/>
  <c r="EZ33" i="17"/>
  <c r="FA33" i="17"/>
  <c r="FB33" i="17"/>
  <c r="FC33" i="17"/>
  <c r="FD33" i="17"/>
  <c r="FE33" i="17"/>
  <c r="FF33" i="17"/>
  <c r="FG33" i="17"/>
  <c r="FH33" i="17"/>
  <c r="FI33" i="17"/>
  <c r="FJ33" i="17"/>
  <c r="FK33" i="17"/>
  <c r="FL33" i="17"/>
  <c r="FM33" i="17"/>
  <c r="FN33" i="17"/>
  <c r="FO33" i="17"/>
  <c r="FP33" i="17"/>
  <c r="FQ33" i="17"/>
  <c r="FR33" i="17"/>
  <c r="FS33" i="17"/>
  <c r="FT33" i="17"/>
  <c r="FU33" i="17"/>
  <c r="FV33" i="17"/>
  <c r="FW33" i="17"/>
  <c r="FX33" i="17"/>
  <c r="FY33" i="17"/>
  <c r="FZ33" i="17"/>
  <c r="GA33" i="17"/>
  <c r="GB33" i="17"/>
  <c r="GC33" i="17"/>
  <c r="GD33" i="17"/>
  <c r="GE33" i="17"/>
  <c r="GF33" i="17"/>
  <c r="GG33" i="17"/>
  <c r="GH33" i="17"/>
  <c r="GI33" i="17"/>
  <c r="GJ33" i="17"/>
  <c r="GK33" i="17"/>
  <c r="GL33" i="17"/>
  <c r="GM33" i="17"/>
  <c r="GN33" i="17"/>
  <c r="GO33" i="17"/>
  <c r="GP33" i="17"/>
  <c r="GQ33" i="17"/>
  <c r="GR33" i="17"/>
  <c r="GS33" i="17"/>
  <c r="GT33" i="17"/>
  <c r="GU33" i="17"/>
  <c r="GV33" i="17"/>
  <c r="GW33" i="17"/>
  <c r="GX33" i="17"/>
  <c r="GY33" i="17"/>
  <c r="GZ33" i="17"/>
  <c r="HA33" i="17"/>
  <c r="HB33" i="17"/>
  <c r="HC33" i="17"/>
  <c r="HD33" i="17"/>
  <c r="HE33" i="17"/>
  <c r="HF33" i="17"/>
  <c r="HG33" i="17"/>
  <c r="HH33" i="17"/>
  <c r="HI33" i="17"/>
  <c r="HJ33" i="17"/>
  <c r="HK33" i="17"/>
  <c r="HL33" i="17"/>
  <c r="HM33" i="17"/>
  <c r="HN33" i="17"/>
  <c r="HO33" i="17"/>
  <c r="HP33" i="17"/>
  <c r="HQ33" i="17"/>
  <c r="HR33" i="17"/>
  <c r="HS33" i="17"/>
  <c r="HT33" i="17"/>
  <c r="HU33" i="17"/>
  <c r="HV33" i="17"/>
  <c r="HW33" i="17"/>
  <c r="HX33" i="17"/>
  <c r="HY33" i="17"/>
  <c r="HZ33" i="17"/>
  <c r="IA33" i="17"/>
  <c r="IB33" i="17"/>
  <c r="IC33" i="17"/>
  <c r="ID33" i="17"/>
  <c r="IE33" i="17"/>
  <c r="IF33" i="17"/>
  <c r="IG33" i="17"/>
  <c r="IH33" i="17"/>
  <c r="II33" i="17"/>
  <c r="IJ33" i="17"/>
  <c r="IK33" i="17"/>
  <c r="IL33" i="17"/>
  <c r="IM33" i="17"/>
  <c r="IN33" i="17"/>
  <c r="IO33" i="17"/>
  <c r="IP33" i="17"/>
  <c r="IQ33" i="17"/>
  <c r="IR33" i="17"/>
  <c r="IS33" i="17"/>
  <c r="IT33" i="17"/>
  <c r="IU33" i="17"/>
  <c r="IV33" i="17"/>
  <c r="A34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AS34" i="17"/>
  <c r="AT34" i="17"/>
  <c r="AU34" i="17"/>
  <c r="AV34" i="17"/>
  <c r="AW34" i="17"/>
  <c r="AX34" i="17"/>
  <c r="AY34" i="17"/>
  <c r="AZ34" i="17"/>
  <c r="BA34" i="17"/>
  <c r="BB34" i="17"/>
  <c r="BC34" i="17"/>
  <c r="BD34" i="17"/>
  <c r="BE34" i="17"/>
  <c r="BF34" i="17"/>
  <c r="BG34" i="17"/>
  <c r="BH34" i="17"/>
  <c r="BI34" i="17"/>
  <c r="BJ34" i="17"/>
  <c r="BK34" i="17"/>
  <c r="BL34" i="17"/>
  <c r="BM34" i="17"/>
  <c r="BN34" i="17"/>
  <c r="BO34" i="17"/>
  <c r="BP34" i="17"/>
  <c r="BQ34" i="17"/>
  <c r="BR34" i="17"/>
  <c r="BS34" i="17"/>
  <c r="BT34" i="17"/>
  <c r="BU34" i="17"/>
  <c r="BV34" i="17"/>
  <c r="BW34" i="17"/>
  <c r="BX34" i="17"/>
  <c r="BY34" i="17"/>
  <c r="BZ34" i="17"/>
  <c r="CA34" i="17"/>
  <c r="CB34" i="17"/>
  <c r="CC34" i="17"/>
  <c r="CD34" i="17"/>
  <c r="CE34" i="17"/>
  <c r="CF34" i="17"/>
  <c r="CG34" i="17"/>
  <c r="CH34" i="17"/>
  <c r="CI34" i="17"/>
  <c r="CJ34" i="17"/>
  <c r="CK34" i="17"/>
  <c r="CL34" i="17"/>
  <c r="CM34" i="17"/>
  <c r="CN34" i="17"/>
  <c r="CO34" i="17"/>
  <c r="CP34" i="17"/>
  <c r="CQ34" i="17"/>
  <c r="CR34" i="17"/>
  <c r="CS34" i="17"/>
  <c r="CT34" i="17"/>
  <c r="CU34" i="17"/>
  <c r="CV34" i="17"/>
  <c r="CW34" i="17"/>
  <c r="CX34" i="17"/>
  <c r="CY34" i="17"/>
  <c r="CZ34" i="17"/>
  <c r="DA34" i="17"/>
  <c r="DB34" i="17"/>
  <c r="DC34" i="17"/>
  <c r="DD34" i="17"/>
  <c r="DE34" i="17"/>
  <c r="DF34" i="17"/>
  <c r="DG34" i="17"/>
  <c r="DH34" i="17"/>
  <c r="DI34" i="17"/>
  <c r="DJ34" i="17"/>
  <c r="DK34" i="17"/>
  <c r="DL34" i="17"/>
  <c r="DM34" i="17"/>
  <c r="DN34" i="17"/>
  <c r="DO34" i="17"/>
  <c r="DP34" i="17"/>
  <c r="DQ34" i="17"/>
  <c r="DR34" i="17"/>
  <c r="DS34" i="17"/>
  <c r="DT34" i="17"/>
  <c r="DU34" i="17"/>
  <c r="DV34" i="17"/>
  <c r="DW34" i="17"/>
  <c r="DX34" i="17"/>
  <c r="DY34" i="17"/>
  <c r="DZ34" i="17"/>
  <c r="EA34" i="17"/>
  <c r="EB34" i="17"/>
  <c r="EC34" i="17"/>
  <c r="ED34" i="17"/>
  <c r="EE34" i="17"/>
  <c r="EF34" i="17"/>
  <c r="EG34" i="17"/>
  <c r="EH34" i="17"/>
  <c r="EI34" i="17"/>
  <c r="EJ34" i="17"/>
  <c r="EK34" i="17"/>
  <c r="EL34" i="17"/>
  <c r="EM34" i="17"/>
  <c r="EN34" i="17"/>
  <c r="EO34" i="17"/>
  <c r="EP34" i="17"/>
  <c r="EQ34" i="17"/>
  <c r="ER34" i="17"/>
  <c r="ES34" i="17"/>
  <c r="ET34" i="17"/>
  <c r="EU34" i="17"/>
  <c r="EV34" i="17"/>
  <c r="EW34" i="17"/>
  <c r="EX34" i="17"/>
  <c r="EY34" i="17"/>
  <c r="EZ34" i="17"/>
  <c r="FA34" i="17"/>
  <c r="FB34" i="17"/>
  <c r="FC34" i="17"/>
  <c r="FD34" i="17"/>
  <c r="FE34" i="17"/>
  <c r="FF34" i="17"/>
  <c r="FG34" i="17"/>
  <c r="FH34" i="17"/>
  <c r="FI34" i="17"/>
  <c r="FJ34" i="17"/>
  <c r="FK34" i="17"/>
  <c r="FL34" i="17"/>
  <c r="FM34" i="17"/>
  <c r="FN34" i="17"/>
  <c r="FO34" i="17"/>
  <c r="FP34" i="17"/>
  <c r="FQ34" i="17"/>
  <c r="FR34" i="17"/>
  <c r="FS34" i="17"/>
  <c r="FT34" i="17"/>
  <c r="FU34" i="17"/>
  <c r="FV34" i="17"/>
  <c r="FW34" i="17"/>
  <c r="FX34" i="17"/>
  <c r="FY34" i="17"/>
  <c r="FZ34" i="17"/>
  <c r="GA34" i="17"/>
  <c r="GB34" i="17"/>
  <c r="GC34" i="17"/>
  <c r="GD34" i="17"/>
  <c r="GE34" i="17"/>
  <c r="GF34" i="17"/>
  <c r="GG34" i="17"/>
  <c r="GH34" i="17"/>
  <c r="GI34" i="17"/>
  <c r="GJ34" i="17"/>
  <c r="GK34" i="17"/>
  <c r="GL34" i="17"/>
  <c r="GM34" i="17"/>
  <c r="GN34" i="17"/>
  <c r="GO34" i="17"/>
  <c r="GP34" i="17"/>
  <c r="GQ34" i="17"/>
  <c r="GR34" i="17"/>
  <c r="GS34" i="17"/>
  <c r="GT34" i="17"/>
  <c r="GU34" i="17"/>
  <c r="GV34" i="17"/>
  <c r="GW34" i="17"/>
  <c r="GX34" i="17"/>
  <c r="GY34" i="17"/>
  <c r="GZ34" i="17"/>
  <c r="HA34" i="17"/>
  <c r="HB34" i="17"/>
  <c r="HC34" i="17"/>
  <c r="HD34" i="17"/>
  <c r="HE34" i="17"/>
  <c r="HF34" i="17"/>
  <c r="HG34" i="17"/>
  <c r="HH34" i="17"/>
  <c r="HI34" i="17"/>
  <c r="HJ34" i="17"/>
  <c r="HK34" i="17"/>
  <c r="HL34" i="17"/>
  <c r="HM34" i="17"/>
  <c r="HN34" i="17"/>
  <c r="HO34" i="17"/>
  <c r="HP34" i="17"/>
  <c r="HQ34" i="17"/>
  <c r="HR34" i="17"/>
  <c r="HS34" i="17"/>
  <c r="HT34" i="17"/>
  <c r="HU34" i="17"/>
  <c r="HV34" i="17"/>
  <c r="HW34" i="17"/>
  <c r="HX34" i="17"/>
  <c r="HY34" i="17"/>
  <c r="HZ34" i="17"/>
  <c r="IA34" i="17"/>
  <c r="IB34" i="17"/>
  <c r="IC34" i="17"/>
  <c r="ID34" i="17"/>
  <c r="IE34" i="17"/>
  <c r="IF34" i="17"/>
  <c r="IG34" i="17"/>
  <c r="IH34" i="17"/>
  <c r="II34" i="17"/>
  <c r="IJ34" i="17"/>
  <c r="IK34" i="17"/>
  <c r="IL34" i="17"/>
  <c r="IM34" i="17"/>
  <c r="IN34" i="17"/>
  <c r="IO34" i="17"/>
  <c r="IP34" i="17"/>
  <c r="IQ34" i="17"/>
  <c r="IR34" i="17"/>
  <c r="IS34" i="17"/>
  <c r="IT34" i="17"/>
  <c r="IU34" i="17"/>
  <c r="IV34" i="17"/>
  <c r="A35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AS35" i="17"/>
  <c r="AT35" i="17"/>
  <c r="AU35" i="17"/>
  <c r="AV35" i="17"/>
  <c r="AW35" i="17"/>
  <c r="AX35" i="17"/>
  <c r="AY35" i="17"/>
  <c r="AZ35" i="17"/>
  <c r="BA35" i="17"/>
  <c r="BB35" i="17"/>
  <c r="BC35" i="17"/>
  <c r="BD35" i="17"/>
  <c r="BE35" i="17"/>
  <c r="BF35" i="17"/>
  <c r="BG35" i="17"/>
  <c r="BH35" i="17"/>
  <c r="BI35" i="17"/>
  <c r="BJ35" i="17"/>
  <c r="BK35" i="17"/>
  <c r="BL35" i="17"/>
  <c r="BM35" i="17"/>
  <c r="BN35" i="17"/>
  <c r="BO35" i="17"/>
  <c r="BP35" i="17"/>
  <c r="BQ35" i="17"/>
  <c r="BR35" i="17"/>
  <c r="BS35" i="17"/>
  <c r="BT35" i="17"/>
  <c r="BU35" i="17"/>
  <c r="BV35" i="17"/>
  <c r="BW35" i="17"/>
  <c r="BX35" i="17"/>
  <c r="BY35" i="17"/>
  <c r="BZ35" i="17"/>
  <c r="CA35" i="17"/>
  <c r="CB35" i="17"/>
  <c r="CC35" i="17"/>
  <c r="CD35" i="17"/>
  <c r="CE35" i="17"/>
  <c r="CF35" i="17"/>
  <c r="CG35" i="17"/>
  <c r="CH35" i="17"/>
  <c r="CI35" i="17"/>
  <c r="CJ35" i="17"/>
  <c r="CK35" i="17"/>
  <c r="CL35" i="17"/>
  <c r="CM35" i="17"/>
  <c r="CN35" i="17"/>
  <c r="CO35" i="17"/>
  <c r="CP35" i="17"/>
  <c r="CQ35" i="17"/>
  <c r="CR35" i="17"/>
  <c r="CS35" i="17"/>
  <c r="CT35" i="17"/>
  <c r="CU35" i="17"/>
  <c r="CV35" i="17"/>
  <c r="CW35" i="17"/>
  <c r="CX35" i="17"/>
  <c r="CY35" i="17"/>
  <c r="CZ35" i="17"/>
  <c r="DA35" i="17"/>
  <c r="DB35" i="17"/>
  <c r="DC35" i="17"/>
  <c r="DD35" i="17"/>
  <c r="DE35" i="17"/>
  <c r="DF35" i="17"/>
  <c r="DG35" i="17"/>
  <c r="DH35" i="17"/>
  <c r="DI35" i="17"/>
  <c r="DJ35" i="17"/>
  <c r="DK35" i="17"/>
  <c r="DL35" i="17"/>
  <c r="DM35" i="17"/>
  <c r="DN35" i="17"/>
  <c r="DO35" i="17"/>
  <c r="DP35" i="17"/>
  <c r="DQ35" i="17"/>
  <c r="DR35" i="17"/>
  <c r="DS35" i="17"/>
  <c r="DT35" i="17"/>
  <c r="DU35" i="17"/>
  <c r="DV35" i="17"/>
  <c r="DW35" i="17"/>
  <c r="DX35" i="17"/>
  <c r="DY35" i="17"/>
  <c r="DZ35" i="17"/>
  <c r="EA35" i="17"/>
  <c r="EB35" i="17"/>
  <c r="EC35" i="17"/>
  <c r="ED35" i="17"/>
  <c r="EE35" i="17"/>
  <c r="EF35" i="17"/>
  <c r="EG35" i="17"/>
  <c r="EH35" i="17"/>
  <c r="EI35" i="17"/>
  <c r="EJ35" i="17"/>
  <c r="EK35" i="17"/>
  <c r="EL35" i="17"/>
  <c r="EM35" i="17"/>
  <c r="EN35" i="17"/>
  <c r="EO35" i="17"/>
  <c r="EP35" i="17"/>
  <c r="EQ35" i="17"/>
  <c r="ER35" i="17"/>
  <c r="ES35" i="17"/>
  <c r="ET35" i="17"/>
  <c r="EU35" i="17"/>
  <c r="EV35" i="17"/>
  <c r="EW35" i="17"/>
  <c r="EX35" i="17"/>
  <c r="EY35" i="17"/>
  <c r="EZ35" i="17"/>
  <c r="FA35" i="17"/>
  <c r="FB35" i="17"/>
  <c r="FC35" i="17"/>
  <c r="FD35" i="17"/>
  <c r="FE35" i="17"/>
  <c r="FF35" i="17"/>
  <c r="FG35" i="17"/>
  <c r="FH35" i="17"/>
  <c r="FI35" i="17"/>
  <c r="FJ35" i="17"/>
  <c r="FK35" i="17"/>
  <c r="FL35" i="17"/>
  <c r="FM35" i="17"/>
  <c r="FN35" i="17"/>
  <c r="FO35" i="17"/>
  <c r="FP35" i="17"/>
  <c r="FQ35" i="17"/>
  <c r="FR35" i="17"/>
  <c r="FS35" i="17"/>
  <c r="FT35" i="17"/>
  <c r="FU35" i="17"/>
  <c r="FV35" i="17"/>
  <c r="FW35" i="17"/>
  <c r="FX35" i="17"/>
  <c r="FY35" i="17"/>
  <c r="FZ35" i="17"/>
  <c r="GA35" i="17"/>
  <c r="GB35" i="17"/>
  <c r="GC35" i="17"/>
  <c r="GD35" i="17"/>
  <c r="GE35" i="17"/>
  <c r="GF35" i="17"/>
  <c r="GG35" i="17"/>
  <c r="GH35" i="17"/>
  <c r="GI35" i="17"/>
  <c r="GJ35" i="17"/>
  <c r="GK35" i="17"/>
  <c r="GL35" i="17"/>
  <c r="GM35" i="17"/>
  <c r="GN35" i="17"/>
  <c r="GO35" i="17"/>
  <c r="GP35" i="17"/>
  <c r="GQ35" i="17"/>
  <c r="GR35" i="17"/>
  <c r="GS35" i="17"/>
  <c r="GT35" i="17"/>
  <c r="GU35" i="17"/>
  <c r="GV35" i="17"/>
  <c r="GW35" i="17"/>
  <c r="GX35" i="17"/>
  <c r="GY35" i="17"/>
  <c r="GZ35" i="17"/>
  <c r="HA35" i="17"/>
  <c r="HB35" i="17"/>
  <c r="HC35" i="17"/>
  <c r="HD35" i="17"/>
  <c r="HE35" i="17"/>
  <c r="HF35" i="17"/>
  <c r="HG35" i="17"/>
  <c r="HH35" i="17"/>
  <c r="HI35" i="17"/>
  <c r="HJ35" i="17"/>
  <c r="HK35" i="17"/>
  <c r="HL35" i="17"/>
  <c r="HM35" i="17"/>
  <c r="HN35" i="17"/>
  <c r="HO35" i="17"/>
  <c r="HP35" i="17"/>
  <c r="HQ35" i="17"/>
  <c r="HR35" i="17"/>
  <c r="HS35" i="17"/>
  <c r="HT35" i="17"/>
  <c r="HU35" i="17"/>
  <c r="HV35" i="17"/>
  <c r="HW35" i="17"/>
  <c r="HX35" i="17"/>
  <c r="HY35" i="17"/>
  <c r="HZ35" i="17"/>
  <c r="IA35" i="17"/>
  <c r="IB35" i="17"/>
  <c r="IC35" i="17"/>
  <c r="ID35" i="17"/>
  <c r="IE35" i="17"/>
  <c r="IF35" i="17"/>
  <c r="IG35" i="17"/>
  <c r="IH35" i="17"/>
  <c r="II35" i="17"/>
  <c r="IJ35" i="17"/>
  <c r="IK35" i="17"/>
  <c r="IL35" i="17"/>
  <c r="IM35" i="17"/>
  <c r="IN35" i="17"/>
  <c r="IO35" i="17"/>
  <c r="IP35" i="17"/>
  <c r="IQ35" i="17"/>
  <c r="IR35" i="17"/>
  <c r="IS35" i="17"/>
  <c r="IT35" i="17"/>
  <c r="IU35" i="17"/>
  <c r="IV35" i="17"/>
  <c r="A36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AB36" i="17"/>
  <c r="AC36" i="17"/>
  <c r="AD36" i="17"/>
  <c r="AE36" i="17"/>
  <c r="AF36" i="17"/>
  <c r="AG36" i="17"/>
  <c r="AH36" i="17"/>
  <c r="AI36" i="17"/>
  <c r="AJ36" i="17"/>
  <c r="AK36" i="17"/>
  <c r="AL36" i="17"/>
  <c r="AM36" i="17"/>
  <c r="AN36" i="17"/>
  <c r="AO36" i="17"/>
  <c r="AP36" i="17"/>
  <c r="AQ36" i="17"/>
  <c r="AR36" i="17"/>
  <c r="AS36" i="17"/>
  <c r="AT36" i="17"/>
  <c r="AU36" i="17"/>
  <c r="AV36" i="17"/>
  <c r="AW36" i="17"/>
  <c r="AX36" i="17"/>
  <c r="AY36" i="17"/>
  <c r="AZ36" i="17"/>
  <c r="BA36" i="17"/>
  <c r="BB36" i="17"/>
  <c r="BC36" i="17"/>
  <c r="BD36" i="17"/>
  <c r="BE36" i="17"/>
  <c r="BF36" i="17"/>
  <c r="BG36" i="17"/>
  <c r="BH36" i="17"/>
  <c r="BI36" i="17"/>
  <c r="BJ36" i="17"/>
  <c r="BK36" i="17"/>
  <c r="BL36" i="17"/>
  <c r="BM36" i="17"/>
  <c r="BN36" i="17"/>
  <c r="BO36" i="17"/>
  <c r="BP36" i="17"/>
  <c r="BQ36" i="17"/>
  <c r="BR36" i="17"/>
  <c r="BS36" i="17"/>
  <c r="BT36" i="17"/>
  <c r="BU36" i="17"/>
  <c r="BV36" i="17"/>
  <c r="BW36" i="17"/>
  <c r="BX36" i="17"/>
  <c r="BY36" i="17"/>
  <c r="BZ36" i="17"/>
  <c r="CA36" i="17"/>
  <c r="CB36" i="17"/>
  <c r="CC36" i="17"/>
  <c r="CD36" i="17"/>
  <c r="CE36" i="17"/>
  <c r="CF36" i="17"/>
  <c r="CG36" i="17"/>
  <c r="CH36" i="17"/>
  <c r="CI36" i="17"/>
  <c r="CJ36" i="17"/>
  <c r="CK36" i="17"/>
  <c r="CL36" i="17"/>
  <c r="CM36" i="17"/>
  <c r="CN36" i="17"/>
  <c r="CO36" i="17"/>
  <c r="CP36" i="17"/>
  <c r="CQ36" i="17"/>
  <c r="CR36" i="17"/>
  <c r="CS36" i="17"/>
  <c r="CT36" i="17"/>
  <c r="CU36" i="17"/>
  <c r="CV36" i="17"/>
  <c r="CW36" i="17"/>
  <c r="CX36" i="17"/>
  <c r="CY36" i="17"/>
  <c r="CZ36" i="17"/>
  <c r="DA36" i="17"/>
  <c r="DB36" i="17"/>
  <c r="DC36" i="17"/>
  <c r="DD36" i="17"/>
  <c r="DE36" i="17"/>
  <c r="DF36" i="17"/>
  <c r="DG36" i="17"/>
  <c r="DH36" i="17"/>
  <c r="DI36" i="17"/>
  <c r="DJ36" i="17"/>
  <c r="DK36" i="17"/>
  <c r="DL36" i="17"/>
  <c r="DM36" i="17"/>
  <c r="DN36" i="17"/>
  <c r="DO36" i="17"/>
  <c r="DP36" i="17"/>
  <c r="DQ36" i="17"/>
  <c r="DR36" i="17"/>
  <c r="DS36" i="17"/>
  <c r="DT36" i="17"/>
  <c r="DU36" i="17"/>
  <c r="DV36" i="17"/>
  <c r="DW36" i="17"/>
  <c r="DX36" i="17"/>
  <c r="DY36" i="17"/>
  <c r="DZ36" i="17"/>
  <c r="EA36" i="17"/>
  <c r="EB36" i="17"/>
  <c r="EC36" i="17"/>
  <c r="ED36" i="17"/>
  <c r="EE36" i="17"/>
  <c r="EF36" i="17"/>
  <c r="EG36" i="17"/>
  <c r="EH36" i="17"/>
  <c r="EI36" i="17"/>
  <c r="EJ36" i="17"/>
  <c r="EK36" i="17"/>
  <c r="EL36" i="17"/>
  <c r="EM36" i="17"/>
  <c r="EN36" i="17"/>
  <c r="EO36" i="17"/>
  <c r="EP36" i="17"/>
  <c r="EQ36" i="17"/>
  <c r="ER36" i="17"/>
  <c r="ES36" i="17"/>
  <c r="ET36" i="17"/>
  <c r="EU36" i="17"/>
  <c r="EV36" i="17"/>
  <c r="EW36" i="17"/>
  <c r="EX36" i="17"/>
  <c r="EY36" i="17"/>
  <c r="EZ36" i="17"/>
  <c r="FA36" i="17"/>
  <c r="FB36" i="17"/>
  <c r="FC36" i="17"/>
  <c r="FD36" i="17"/>
  <c r="FE36" i="17"/>
  <c r="FF36" i="17"/>
  <c r="FG36" i="17"/>
  <c r="FH36" i="17"/>
  <c r="FI36" i="17"/>
  <c r="FJ36" i="17"/>
  <c r="FK36" i="17"/>
  <c r="FL36" i="17"/>
  <c r="FM36" i="17"/>
  <c r="FN36" i="17"/>
  <c r="FO36" i="17"/>
  <c r="FP36" i="17"/>
  <c r="FQ36" i="17"/>
  <c r="FR36" i="17"/>
  <c r="FS36" i="17"/>
  <c r="FT36" i="17"/>
  <c r="FU36" i="17"/>
  <c r="FV36" i="17"/>
  <c r="FW36" i="17"/>
  <c r="FX36" i="17"/>
  <c r="FY36" i="17"/>
  <c r="FZ36" i="17"/>
  <c r="GA36" i="17"/>
  <c r="GB36" i="17"/>
  <c r="GC36" i="17"/>
  <c r="GD36" i="17"/>
  <c r="GE36" i="17"/>
  <c r="GF36" i="17"/>
  <c r="GG36" i="17"/>
  <c r="GH36" i="17"/>
  <c r="GI36" i="17"/>
  <c r="GJ36" i="17"/>
  <c r="GK36" i="17"/>
  <c r="GL36" i="17"/>
  <c r="GM36" i="17"/>
  <c r="GN36" i="17"/>
  <c r="GO36" i="17"/>
  <c r="GP36" i="17"/>
  <c r="GQ36" i="17"/>
  <c r="GR36" i="17"/>
  <c r="GS36" i="17"/>
  <c r="GT36" i="17"/>
  <c r="GU36" i="17"/>
  <c r="GV36" i="17"/>
  <c r="GW36" i="17"/>
  <c r="GX36" i="17"/>
  <c r="GY36" i="17"/>
  <c r="GZ36" i="17"/>
  <c r="HA36" i="17"/>
  <c r="HB36" i="17"/>
  <c r="HC36" i="17"/>
  <c r="HD36" i="17"/>
  <c r="HE36" i="17"/>
  <c r="HF36" i="17"/>
  <c r="HG36" i="17"/>
  <c r="HH36" i="17"/>
  <c r="HI36" i="17"/>
  <c r="HJ36" i="17"/>
  <c r="HK36" i="17"/>
  <c r="HL36" i="17"/>
  <c r="HM36" i="17"/>
  <c r="HN36" i="17"/>
  <c r="HO36" i="17"/>
  <c r="HP36" i="17"/>
  <c r="HQ36" i="17"/>
  <c r="HR36" i="17"/>
  <c r="HS36" i="17"/>
  <c r="HT36" i="17"/>
  <c r="HU36" i="17"/>
  <c r="HV36" i="17"/>
  <c r="HW36" i="17"/>
  <c r="HX36" i="17"/>
  <c r="HY36" i="17"/>
  <c r="HZ36" i="17"/>
  <c r="IA36" i="17"/>
  <c r="IB36" i="17"/>
  <c r="IC36" i="17"/>
  <c r="ID36" i="17"/>
  <c r="IE36" i="17"/>
  <c r="IF36" i="17"/>
  <c r="IG36" i="17"/>
  <c r="IH36" i="17"/>
  <c r="II36" i="17"/>
  <c r="IJ36" i="17"/>
  <c r="IK36" i="17"/>
  <c r="IL36" i="17"/>
  <c r="IM36" i="17"/>
  <c r="IN36" i="17"/>
  <c r="IO36" i="17"/>
  <c r="IP36" i="17"/>
  <c r="IQ36" i="17"/>
  <c r="IR36" i="17"/>
  <c r="IS36" i="17"/>
  <c r="IT36" i="17"/>
  <c r="IU36" i="17"/>
  <c r="IV36" i="17"/>
  <c r="A37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AS37" i="17"/>
  <c r="AT37" i="17"/>
  <c r="AU37" i="17"/>
  <c r="AV37" i="17"/>
  <c r="AW37" i="17"/>
  <c r="AX37" i="17"/>
  <c r="AY37" i="17"/>
  <c r="AZ37" i="17"/>
  <c r="BA37" i="17"/>
  <c r="BB37" i="17"/>
  <c r="BC37" i="17"/>
  <c r="BD37" i="17"/>
  <c r="BE37" i="17"/>
  <c r="BF37" i="17"/>
  <c r="BG37" i="17"/>
  <c r="BH37" i="17"/>
  <c r="BI37" i="17"/>
  <c r="BJ37" i="17"/>
  <c r="BK37" i="17"/>
  <c r="BL37" i="17"/>
  <c r="BM37" i="17"/>
  <c r="BN37" i="17"/>
  <c r="BO37" i="17"/>
  <c r="BP37" i="17"/>
  <c r="BQ37" i="17"/>
  <c r="BR37" i="17"/>
  <c r="BS37" i="17"/>
  <c r="BT37" i="17"/>
  <c r="BU37" i="17"/>
  <c r="BV37" i="17"/>
  <c r="BW37" i="17"/>
  <c r="BX37" i="17"/>
  <c r="BY37" i="17"/>
  <c r="BZ37" i="17"/>
  <c r="CA37" i="17"/>
  <c r="CB37" i="17"/>
  <c r="CC37" i="17"/>
  <c r="CD37" i="17"/>
  <c r="CE37" i="17"/>
  <c r="CF37" i="17"/>
  <c r="CG37" i="17"/>
  <c r="CH37" i="17"/>
  <c r="CI37" i="17"/>
  <c r="CJ37" i="17"/>
  <c r="CK37" i="17"/>
  <c r="CL37" i="17"/>
  <c r="CM37" i="17"/>
  <c r="CN37" i="17"/>
  <c r="CO37" i="17"/>
  <c r="CP37" i="17"/>
  <c r="CQ37" i="17"/>
  <c r="CR37" i="17"/>
  <c r="CS37" i="17"/>
  <c r="CT37" i="17"/>
  <c r="CU37" i="17"/>
  <c r="CV37" i="17"/>
  <c r="CW37" i="17"/>
  <c r="CX37" i="17"/>
  <c r="CY37" i="17"/>
  <c r="CZ37" i="17"/>
  <c r="DA37" i="17"/>
  <c r="DB37" i="17"/>
  <c r="DC37" i="17"/>
  <c r="DD37" i="17"/>
  <c r="DE37" i="17"/>
  <c r="DF37" i="17"/>
  <c r="DG37" i="17"/>
  <c r="DH37" i="17"/>
  <c r="DI37" i="17"/>
  <c r="DJ37" i="17"/>
  <c r="DK37" i="17"/>
  <c r="DL37" i="17"/>
  <c r="DM37" i="17"/>
  <c r="DN37" i="17"/>
  <c r="DO37" i="17"/>
  <c r="DP37" i="17"/>
  <c r="DQ37" i="17"/>
  <c r="DR37" i="17"/>
  <c r="DS37" i="17"/>
  <c r="DT37" i="17"/>
  <c r="DU37" i="17"/>
  <c r="DV37" i="17"/>
  <c r="DW37" i="17"/>
  <c r="DX37" i="17"/>
  <c r="DY37" i="17"/>
  <c r="DZ37" i="17"/>
  <c r="EA37" i="17"/>
  <c r="EB37" i="17"/>
  <c r="EC37" i="17"/>
  <c r="ED37" i="17"/>
  <c r="EE37" i="17"/>
  <c r="EF37" i="17"/>
  <c r="EG37" i="17"/>
  <c r="EH37" i="17"/>
  <c r="EI37" i="17"/>
  <c r="EJ37" i="17"/>
  <c r="EK37" i="17"/>
  <c r="EL37" i="17"/>
  <c r="EM37" i="17"/>
  <c r="EN37" i="17"/>
  <c r="EO37" i="17"/>
  <c r="EP37" i="17"/>
  <c r="EQ37" i="17"/>
  <c r="ER37" i="17"/>
  <c r="ES37" i="17"/>
  <c r="ET37" i="17"/>
  <c r="EU37" i="17"/>
  <c r="EV37" i="17"/>
  <c r="EW37" i="17"/>
  <c r="EX37" i="17"/>
  <c r="EY37" i="17"/>
  <c r="EZ37" i="17"/>
  <c r="FA37" i="17"/>
  <c r="FB37" i="17"/>
  <c r="FC37" i="17"/>
  <c r="FD37" i="17"/>
  <c r="FE37" i="17"/>
  <c r="FF37" i="17"/>
  <c r="FG37" i="17"/>
  <c r="FH37" i="17"/>
  <c r="FI37" i="17"/>
  <c r="FJ37" i="17"/>
  <c r="FK37" i="17"/>
  <c r="FL37" i="17"/>
  <c r="FM37" i="17"/>
  <c r="FN37" i="17"/>
  <c r="FO37" i="17"/>
  <c r="FP37" i="17"/>
  <c r="FQ37" i="17"/>
  <c r="FR37" i="17"/>
  <c r="FS37" i="17"/>
  <c r="FT37" i="17"/>
  <c r="FU37" i="17"/>
  <c r="FV37" i="17"/>
  <c r="FW37" i="17"/>
  <c r="FX37" i="17"/>
  <c r="FY37" i="17"/>
  <c r="FZ37" i="17"/>
  <c r="GA37" i="17"/>
  <c r="GB37" i="17"/>
  <c r="GC37" i="17"/>
  <c r="GD37" i="17"/>
  <c r="GE37" i="17"/>
  <c r="GF37" i="17"/>
  <c r="GG37" i="17"/>
  <c r="GH37" i="17"/>
  <c r="GI37" i="17"/>
  <c r="GJ37" i="17"/>
  <c r="GK37" i="17"/>
  <c r="GL37" i="17"/>
  <c r="GM37" i="17"/>
  <c r="GN37" i="17"/>
  <c r="GO37" i="17"/>
  <c r="GP37" i="17"/>
  <c r="GQ37" i="17"/>
  <c r="GR37" i="17"/>
  <c r="GS37" i="17"/>
  <c r="GT37" i="17"/>
  <c r="GU37" i="17"/>
  <c r="GV37" i="17"/>
  <c r="GW37" i="17"/>
  <c r="GX37" i="17"/>
  <c r="GY37" i="17"/>
  <c r="GZ37" i="17"/>
  <c r="HA37" i="17"/>
  <c r="HB37" i="17"/>
  <c r="HC37" i="17"/>
  <c r="HD37" i="17"/>
  <c r="HE37" i="17"/>
  <c r="HF37" i="17"/>
  <c r="HG37" i="17"/>
  <c r="HH37" i="17"/>
  <c r="HI37" i="17"/>
  <c r="HJ37" i="17"/>
  <c r="HK37" i="17"/>
  <c r="HL37" i="17"/>
  <c r="HM37" i="17"/>
  <c r="HN37" i="17"/>
  <c r="HO37" i="17"/>
  <c r="HP37" i="17"/>
  <c r="HQ37" i="17"/>
  <c r="HR37" i="17"/>
  <c r="HS37" i="17"/>
  <c r="HT37" i="17"/>
  <c r="HU37" i="17"/>
  <c r="HV37" i="17"/>
  <c r="HW37" i="17"/>
  <c r="HX37" i="17"/>
  <c r="HY37" i="17"/>
  <c r="HZ37" i="17"/>
  <c r="IA37" i="17"/>
  <c r="IB37" i="17"/>
  <c r="IC37" i="17"/>
  <c r="ID37" i="17"/>
  <c r="IE37" i="17"/>
  <c r="IF37" i="17"/>
  <c r="IG37" i="17"/>
  <c r="IH37" i="17"/>
  <c r="II37" i="17"/>
  <c r="IJ37" i="17"/>
  <c r="IK37" i="17"/>
  <c r="IL37" i="17"/>
  <c r="IM37" i="17"/>
  <c r="IN37" i="17"/>
  <c r="IO37" i="17"/>
  <c r="IP37" i="17"/>
  <c r="IQ37" i="17"/>
  <c r="IR37" i="17"/>
  <c r="IS37" i="17"/>
  <c r="IT37" i="17"/>
  <c r="IU37" i="17"/>
  <c r="IV37" i="17"/>
  <c r="A38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AS38" i="17"/>
  <c r="AT38" i="17"/>
  <c r="AU38" i="17"/>
  <c r="AV38" i="17"/>
  <c r="AW38" i="17"/>
  <c r="AX38" i="17"/>
  <c r="AY38" i="17"/>
  <c r="AZ38" i="17"/>
  <c r="BA38" i="17"/>
  <c r="BB38" i="17"/>
  <c r="BC38" i="17"/>
  <c r="BD38" i="17"/>
  <c r="BE38" i="17"/>
  <c r="BF38" i="17"/>
  <c r="BG38" i="17"/>
  <c r="BH38" i="17"/>
  <c r="BI38" i="17"/>
  <c r="BJ38" i="17"/>
  <c r="BK38" i="17"/>
  <c r="BL38" i="17"/>
  <c r="BM38" i="17"/>
  <c r="BN38" i="17"/>
  <c r="BO38" i="17"/>
  <c r="BP38" i="17"/>
  <c r="BQ38" i="17"/>
  <c r="BR38" i="17"/>
  <c r="BS38" i="17"/>
  <c r="BT38" i="17"/>
  <c r="BU38" i="17"/>
  <c r="BV38" i="17"/>
  <c r="BW38" i="17"/>
  <c r="BX38" i="17"/>
  <c r="BY38" i="17"/>
  <c r="BZ38" i="17"/>
  <c r="CA38" i="17"/>
  <c r="CB38" i="17"/>
  <c r="CC38" i="17"/>
  <c r="CD38" i="17"/>
  <c r="CE38" i="17"/>
  <c r="CF38" i="17"/>
  <c r="CG38" i="17"/>
  <c r="CH38" i="17"/>
  <c r="CI38" i="17"/>
  <c r="CJ38" i="17"/>
  <c r="CK38" i="17"/>
  <c r="CL38" i="17"/>
  <c r="CM38" i="17"/>
  <c r="CN38" i="17"/>
  <c r="CO38" i="17"/>
  <c r="CP38" i="17"/>
  <c r="CQ38" i="17"/>
  <c r="CR38" i="17"/>
  <c r="CS38" i="17"/>
  <c r="CT38" i="17"/>
  <c r="CU38" i="17"/>
  <c r="CV38" i="17"/>
  <c r="CW38" i="17"/>
  <c r="CX38" i="17"/>
  <c r="CY38" i="17"/>
  <c r="CZ38" i="17"/>
  <c r="DA38" i="17"/>
  <c r="DB38" i="17"/>
  <c r="DC38" i="17"/>
  <c r="DD38" i="17"/>
  <c r="DE38" i="17"/>
  <c r="DF38" i="17"/>
  <c r="DG38" i="17"/>
  <c r="DH38" i="17"/>
  <c r="DI38" i="17"/>
  <c r="DJ38" i="17"/>
  <c r="DK38" i="17"/>
  <c r="DL38" i="17"/>
  <c r="DM38" i="17"/>
  <c r="DN38" i="17"/>
  <c r="DO38" i="17"/>
  <c r="DP38" i="17"/>
  <c r="DQ38" i="17"/>
  <c r="DR38" i="17"/>
  <c r="DS38" i="17"/>
  <c r="DT38" i="17"/>
  <c r="DU38" i="17"/>
  <c r="DV38" i="17"/>
  <c r="DW38" i="17"/>
  <c r="DX38" i="17"/>
  <c r="DY38" i="17"/>
  <c r="DZ38" i="17"/>
  <c r="EA38" i="17"/>
  <c r="EB38" i="17"/>
  <c r="EC38" i="17"/>
  <c r="ED38" i="17"/>
  <c r="EE38" i="17"/>
  <c r="EF38" i="17"/>
  <c r="EG38" i="17"/>
  <c r="EH38" i="17"/>
  <c r="EI38" i="17"/>
  <c r="EJ38" i="17"/>
  <c r="EK38" i="17"/>
  <c r="EL38" i="17"/>
  <c r="EM38" i="17"/>
  <c r="EN38" i="17"/>
  <c r="EO38" i="17"/>
  <c r="EP38" i="17"/>
  <c r="EQ38" i="17"/>
  <c r="ER38" i="17"/>
  <c r="ES38" i="17"/>
  <c r="ET38" i="17"/>
  <c r="EU38" i="17"/>
  <c r="EV38" i="17"/>
  <c r="EW38" i="17"/>
  <c r="EX38" i="17"/>
  <c r="EY38" i="17"/>
  <c r="EZ38" i="17"/>
  <c r="FA38" i="17"/>
  <c r="FB38" i="17"/>
  <c r="FC38" i="17"/>
  <c r="FD38" i="17"/>
  <c r="FE38" i="17"/>
  <c r="FF38" i="17"/>
  <c r="FG38" i="17"/>
  <c r="FH38" i="17"/>
  <c r="FI38" i="17"/>
  <c r="FJ38" i="17"/>
  <c r="FK38" i="17"/>
  <c r="FL38" i="17"/>
  <c r="FM38" i="17"/>
  <c r="FN38" i="17"/>
  <c r="FO38" i="17"/>
  <c r="FP38" i="17"/>
  <c r="FQ38" i="17"/>
  <c r="FR38" i="17"/>
  <c r="FS38" i="17"/>
  <c r="FT38" i="17"/>
  <c r="FU38" i="17"/>
  <c r="FV38" i="17"/>
  <c r="FW38" i="17"/>
  <c r="FX38" i="17"/>
  <c r="FY38" i="17"/>
  <c r="FZ38" i="17"/>
  <c r="GA38" i="17"/>
  <c r="GB38" i="17"/>
  <c r="GC38" i="17"/>
  <c r="GD38" i="17"/>
  <c r="GE38" i="17"/>
  <c r="GF38" i="17"/>
  <c r="GG38" i="17"/>
  <c r="GH38" i="17"/>
  <c r="GI38" i="17"/>
  <c r="GJ38" i="17"/>
  <c r="GK38" i="17"/>
  <c r="GL38" i="17"/>
  <c r="GM38" i="17"/>
  <c r="GN38" i="17"/>
  <c r="GO38" i="17"/>
  <c r="GP38" i="17"/>
  <c r="GQ38" i="17"/>
  <c r="GR38" i="17"/>
  <c r="GS38" i="17"/>
  <c r="GT38" i="17"/>
  <c r="GU38" i="17"/>
  <c r="GV38" i="17"/>
  <c r="GW38" i="17"/>
  <c r="GX38" i="17"/>
  <c r="GY38" i="17"/>
  <c r="GZ38" i="17"/>
  <c r="HA38" i="17"/>
  <c r="HB38" i="17"/>
  <c r="HC38" i="17"/>
  <c r="HD38" i="17"/>
  <c r="HE38" i="17"/>
  <c r="HF38" i="17"/>
  <c r="HG38" i="17"/>
  <c r="HH38" i="17"/>
  <c r="HI38" i="17"/>
  <c r="HJ38" i="17"/>
  <c r="HK38" i="17"/>
  <c r="HL38" i="17"/>
  <c r="HM38" i="17"/>
  <c r="HN38" i="17"/>
  <c r="HO38" i="17"/>
  <c r="HP38" i="17"/>
  <c r="HQ38" i="17"/>
  <c r="HR38" i="17"/>
  <c r="HS38" i="17"/>
  <c r="HT38" i="17"/>
  <c r="HU38" i="17"/>
  <c r="HV38" i="17"/>
  <c r="HW38" i="17"/>
  <c r="HX38" i="17"/>
  <c r="HY38" i="17"/>
  <c r="HZ38" i="17"/>
  <c r="IA38" i="17"/>
  <c r="IB38" i="17"/>
  <c r="IC38" i="17"/>
  <c r="ID38" i="17"/>
  <c r="IE38" i="17"/>
  <c r="IF38" i="17"/>
  <c r="IG38" i="17"/>
  <c r="IH38" i="17"/>
  <c r="II38" i="17"/>
  <c r="IJ38" i="17"/>
  <c r="IK38" i="17"/>
  <c r="IL38" i="17"/>
  <c r="IM38" i="17"/>
  <c r="IN38" i="17"/>
  <c r="IO38" i="17"/>
  <c r="IP38" i="17"/>
  <c r="IQ38" i="17"/>
  <c r="IR38" i="17"/>
  <c r="IS38" i="17"/>
  <c r="IT38" i="17"/>
  <c r="IU38" i="17"/>
  <c r="IV38" i="17"/>
  <c r="A39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P39" i="17"/>
  <c r="Q39" i="17"/>
  <c r="R39" i="17"/>
  <c r="S39" i="17"/>
  <c r="T39" i="17"/>
  <c r="U39" i="17"/>
  <c r="V39" i="17"/>
  <c r="W39" i="17"/>
  <c r="X39" i="17"/>
  <c r="Y39" i="17"/>
  <c r="Z39" i="17"/>
  <c r="AA39" i="17"/>
  <c r="AB39" i="17"/>
  <c r="AC39" i="17"/>
  <c r="AD39" i="17"/>
  <c r="AE39" i="17"/>
  <c r="AF39" i="17"/>
  <c r="AG39" i="17"/>
  <c r="AH39" i="17"/>
  <c r="AI39" i="17"/>
  <c r="AJ39" i="17"/>
  <c r="AK39" i="17"/>
  <c r="AL39" i="17"/>
  <c r="AM39" i="17"/>
  <c r="AN39" i="17"/>
  <c r="AO39" i="17"/>
  <c r="AP39" i="17"/>
  <c r="AQ39" i="17"/>
  <c r="AR39" i="17"/>
  <c r="AS39" i="17"/>
  <c r="AT39" i="17"/>
  <c r="AU39" i="17"/>
  <c r="AV39" i="17"/>
  <c r="AW39" i="17"/>
  <c r="AX39" i="17"/>
  <c r="AY39" i="17"/>
  <c r="AZ39" i="17"/>
  <c r="BA39" i="17"/>
  <c r="BB39" i="17"/>
  <c r="BC39" i="17"/>
  <c r="BD39" i="17"/>
  <c r="BE39" i="17"/>
  <c r="BF39" i="17"/>
  <c r="BG39" i="17"/>
  <c r="BH39" i="17"/>
  <c r="BI39" i="17"/>
  <c r="BJ39" i="17"/>
  <c r="BK39" i="17"/>
  <c r="BL39" i="17"/>
  <c r="BM39" i="17"/>
  <c r="BN39" i="17"/>
  <c r="BO39" i="17"/>
  <c r="BP39" i="17"/>
  <c r="BQ39" i="17"/>
  <c r="BR39" i="17"/>
  <c r="BS39" i="17"/>
  <c r="BT39" i="17"/>
  <c r="BU39" i="17"/>
  <c r="BV39" i="17"/>
  <c r="BW39" i="17"/>
  <c r="BX39" i="17"/>
  <c r="BY39" i="17"/>
  <c r="BZ39" i="17"/>
  <c r="CA39" i="17"/>
  <c r="CB39" i="17"/>
  <c r="CC39" i="17"/>
  <c r="CD39" i="17"/>
  <c r="CE39" i="17"/>
  <c r="CF39" i="17"/>
  <c r="CG39" i="17"/>
  <c r="CH39" i="17"/>
  <c r="CI39" i="17"/>
  <c r="CJ39" i="17"/>
  <c r="CK39" i="17"/>
  <c r="CL39" i="17"/>
  <c r="CM39" i="17"/>
  <c r="CN39" i="17"/>
  <c r="CO39" i="17"/>
  <c r="CP39" i="17"/>
  <c r="CQ39" i="17"/>
  <c r="CR39" i="17"/>
  <c r="CS39" i="17"/>
  <c r="CT39" i="17"/>
  <c r="CU39" i="17"/>
  <c r="CV39" i="17"/>
  <c r="CW39" i="17"/>
  <c r="CX39" i="17"/>
  <c r="CY39" i="17"/>
  <c r="CZ39" i="17"/>
  <c r="DA39" i="17"/>
  <c r="DB39" i="17"/>
  <c r="DC39" i="17"/>
  <c r="DD39" i="17"/>
  <c r="DE39" i="17"/>
  <c r="DF39" i="17"/>
  <c r="DG39" i="17"/>
  <c r="DH39" i="17"/>
  <c r="DI39" i="17"/>
  <c r="DJ39" i="17"/>
  <c r="DK39" i="17"/>
  <c r="DL39" i="17"/>
  <c r="DM39" i="17"/>
  <c r="DN39" i="17"/>
  <c r="DO39" i="17"/>
  <c r="DP39" i="17"/>
  <c r="DQ39" i="17"/>
  <c r="DR39" i="17"/>
  <c r="DS39" i="17"/>
  <c r="DT39" i="17"/>
  <c r="DU39" i="17"/>
  <c r="DV39" i="17"/>
  <c r="DW39" i="17"/>
  <c r="DX39" i="17"/>
  <c r="DY39" i="17"/>
  <c r="DZ39" i="17"/>
  <c r="EA39" i="17"/>
  <c r="EB39" i="17"/>
  <c r="EC39" i="17"/>
  <c r="ED39" i="17"/>
  <c r="EE39" i="17"/>
  <c r="EF39" i="17"/>
  <c r="EG39" i="17"/>
  <c r="EH39" i="17"/>
  <c r="EI39" i="17"/>
  <c r="EJ39" i="17"/>
  <c r="EK39" i="17"/>
  <c r="EL39" i="17"/>
  <c r="EM39" i="17"/>
  <c r="EN39" i="17"/>
  <c r="EO39" i="17"/>
  <c r="EP39" i="17"/>
  <c r="EQ39" i="17"/>
  <c r="ER39" i="17"/>
  <c r="ES39" i="17"/>
  <c r="ET39" i="17"/>
  <c r="EU39" i="17"/>
  <c r="EV39" i="17"/>
  <c r="EW39" i="17"/>
  <c r="EX39" i="17"/>
  <c r="EY39" i="17"/>
  <c r="EZ39" i="17"/>
  <c r="FA39" i="17"/>
  <c r="FB39" i="17"/>
  <c r="FC39" i="17"/>
  <c r="FD39" i="17"/>
  <c r="FE39" i="17"/>
  <c r="FF39" i="17"/>
  <c r="FG39" i="17"/>
  <c r="FH39" i="17"/>
  <c r="FI39" i="17"/>
  <c r="FJ39" i="17"/>
  <c r="FK39" i="17"/>
  <c r="FL39" i="17"/>
  <c r="FM39" i="17"/>
  <c r="FN39" i="17"/>
  <c r="FO39" i="17"/>
  <c r="FP39" i="17"/>
  <c r="FQ39" i="17"/>
  <c r="FR39" i="17"/>
  <c r="FS39" i="17"/>
  <c r="FT39" i="17"/>
  <c r="FU39" i="17"/>
  <c r="FV39" i="17"/>
  <c r="FW39" i="17"/>
  <c r="FX39" i="17"/>
  <c r="FY39" i="17"/>
  <c r="FZ39" i="17"/>
  <c r="GA39" i="17"/>
  <c r="GB39" i="17"/>
  <c r="GC39" i="17"/>
  <c r="GD39" i="17"/>
  <c r="GE39" i="17"/>
  <c r="GF39" i="17"/>
  <c r="GG39" i="17"/>
  <c r="GH39" i="17"/>
  <c r="GI39" i="17"/>
  <c r="GJ39" i="17"/>
  <c r="GK39" i="17"/>
  <c r="GL39" i="17"/>
  <c r="GM39" i="17"/>
  <c r="GN39" i="17"/>
  <c r="GO39" i="17"/>
  <c r="GP39" i="17"/>
  <c r="GQ39" i="17"/>
  <c r="GR39" i="17"/>
  <c r="GS39" i="17"/>
  <c r="GT39" i="17"/>
  <c r="GU39" i="17"/>
  <c r="GV39" i="17"/>
  <c r="GW39" i="17"/>
  <c r="GX39" i="17"/>
  <c r="GY39" i="17"/>
  <c r="GZ39" i="17"/>
  <c r="HA39" i="17"/>
  <c r="HB39" i="17"/>
  <c r="HC39" i="17"/>
  <c r="HD39" i="17"/>
  <c r="HE39" i="17"/>
  <c r="HF39" i="17"/>
  <c r="HG39" i="17"/>
  <c r="HH39" i="17"/>
  <c r="HI39" i="17"/>
  <c r="HJ39" i="17"/>
  <c r="HK39" i="17"/>
  <c r="HL39" i="17"/>
  <c r="HM39" i="17"/>
  <c r="HN39" i="17"/>
  <c r="HO39" i="17"/>
  <c r="HP39" i="17"/>
  <c r="HQ39" i="17"/>
  <c r="HR39" i="17"/>
  <c r="HS39" i="17"/>
  <c r="HT39" i="17"/>
  <c r="HU39" i="17"/>
  <c r="HV39" i="17"/>
  <c r="HW39" i="17"/>
  <c r="HX39" i="17"/>
  <c r="HY39" i="17"/>
  <c r="HZ39" i="17"/>
  <c r="IA39" i="17"/>
  <c r="IB39" i="17"/>
  <c r="IC39" i="17"/>
  <c r="ID39" i="17"/>
  <c r="IE39" i="17"/>
  <c r="IF39" i="17"/>
  <c r="IG39" i="17"/>
  <c r="IH39" i="17"/>
  <c r="II39" i="17"/>
  <c r="IJ39" i="17"/>
  <c r="IK39" i="17"/>
  <c r="IL39" i="17"/>
  <c r="IM39" i="17"/>
  <c r="IN39" i="17"/>
  <c r="IO39" i="17"/>
  <c r="IP39" i="17"/>
  <c r="IQ39" i="17"/>
  <c r="IR39" i="17"/>
  <c r="IS39" i="17"/>
  <c r="IT39" i="17"/>
  <c r="IU39" i="17"/>
  <c r="IV39" i="17"/>
  <c r="A40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AS40" i="17"/>
  <c r="AT40" i="17"/>
  <c r="AU40" i="17"/>
  <c r="AV40" i="17"/>
  <c r="AW40" i="17"/>
  <c r="AX40" i="17"/>
  <c r="AY40" i="17"/>
  <c r="AZ40" i="17"/>
  <c r="BA40" i="17"/>
  <c r="BB40" i="17"/>
  <c r="BC40" i="17"/>
  <c r="BD40" i="17"/>
  <c r="BE40" i="17"/>
  <c r="BF40" i="17"/>
  <c r="BG40" i="17"/>
  <c r="BH40" i="17"/>
  <c r="BI40" i="17"/>
  <c r="BJ40" i="17"/>
  <c r="BK40" i="17"/>
  <c r="BL40" i="17"/>
  <c r="BM40" i="17"/>
  <c r="BN40" i="17"/>
  <c r="BO40" i="17"/>
  <c r="BP40" i="17"/>
  <c r="BQ40" i="17"/>
  <c r="BR40" i="17"/>
  <c r="BS40" i="17"/>
  <c r="BT40" i="17"/>
  <c r="BU40" i="17"/>
  <c r="BV40" i="17"/>
  <c r="BW40" i="17"/>
  <c r="BX40" i="17"/>
  <c r="BY40" i="17"/>
  <c r="BZ40" i="17"/>
  <c r="CA40" i="17"/>
  <c r="CB40" i="17"/>
  <c r="CC40" i="17"/>
  <c r="CD40" i="17"/>
  <c r="CE40" i="17"/>
  <c r="CF40" i="17"/>
  <c r="CG40" i="17"/>
  <c r="CH40" i="17"/>
  <c r="CI40" i="17"/>
  <c r="CJ40" i="17"/>
  <c r="CK40" i="17"/>
  <c r="CL40" i="17"/>
  <c r="CM40" i="17"/>
  <c r="CN40" i="17"/>
  <c r="CO40" i="17"/>
  <c r="CP40" i="17"/>
  <c r="CQ40" i="17"/>
  <c r="CR40" i="17"/>
  <c r="CS40" i="17"/>
  <c r="CT40" i="17"/>
  <c r="CU40" i="17"/>
  <c r="CV40" i="17"/>
  <c r="CW40" i="17"/>
  <c r="CX40" i="17"/>
  <c r="CY40" i="17"/>
  <c r="CZ40" i="17"/>
  <c r="DA40" i="17"/>
  <c r="DB40" i="17"/>
  <c r="DC40" i="17"/>
  <c r="DD40" i="17"/>
  <c r="DE40" i="17"/>
  <c r="DF40" i="17"/>
  <c r="DG40" i="17"/>
  <c r="DH40" i="17"/>
  <c r="DI40" i="17"/>
  <c r="DJ40" i="17"/>
  <c r="DK40" i="17"/>
  <c r="DL40" i="17"/>
  <c r="DM40" i="17"/>
  <c r="DN40" i="17"/>
  <c r="DO40" i="17"/>
  <c r="DP40" i="17"/>
  <c r="DQ40" i="17"/>
  <c r="DR40" i="17"/>
  <c r="DS40" i="17"/>
  <c r="DT40" i="17"/>
  <c r="DU40" i="17"/>
  <c r="DV40" i="17"/>
  <c r="DW40" i="17"/>
  <c r="DX40" i="17"/>
  <c r="DY40" i="17"/>
  <c r="DZ40" i="17"/>
  <c r="EA40" i="17"/>
  <c r="EB40" i="17"/>
  <c r="EC40" i="17"/>
  <c r="ED40" i="17"/>
  <c r="EE40" i="17"/>
  <c r="EF40" i="17"/>
  <c r="EG40" i="17"/>
  <c r="EH40" i="17"/>
  <c r="EI40" i="17"/>
  <c r="EJ40" i="17"/>
  <c r="EK40" i="17"/>
  <c r="EL40" i="17"/>
  <c r="EM40" i="17"/>
  <c r="EN40" i="17"/>
  <c r="EO40" i="17"/>
  <c r="EP40" i="17"/>
  <c r="EQ40" i="17"/>
  <c r="ER40" i="17"/>
  <c r="ES40" i="17"/>
  <c r="ET40" i="17"/>
  <c r="EU40" i="17"/>
  <c r="EV40" i="17"/>
  <c r="EW40" i="17"/>
  <c r="EX40" i="17"/>
  <c r="EY40" i="17"/>
  <c r="EZ40" i="17"/>
  <c r="FA40" i="17"/>
  <c r="FB40" i="17"/>
  <c r="FC40" i="17"/>
  <c r="FD40" i="17"/>
  <c r="FE40" i="17"/>
  <c r="FF40" i="17"/>
  <c r="FG40" i="17"/>
  <c r="FH40" i="17"/>
  <c r="FI40" i="17"/>
  <c r="FJ40" i="17"/>
  <c r="FK40" i="17"/>
  <c r="FL40" i="17"/>
  <c r="FM40" i="17"/>
  <c r="FN40" i="17"/>
  <c r="FO40" i="17"/>
  <c r="FP40" i="17"/>
  <c r="FQ40" i="17"/>
  <c r="FR40" i="17"/>
  <c r="FS40" i="17"/>
  <c r="FT40" i="17"/>
  <c r="FU40" i="17"/>
  <c r="FV40" i="17"/>
  <c r="FW40" i="17"/>
  <c r="FX40" i="17"/>
  <c r="FY40" i="17"/>
  <c r="FZ40" i="17"/>
  <c r="GA40" i="17"/>
  <c r="GB40" i="17"/>
  <c r="GC40" i="17"/>
  <c r="GD40" i="17"/>
  <c r="GE40" i="17"/>
  <c r="GF40" i="17"/>
  <c r="GG40" i="17"/>
  <c r="GH40" i="17"/>
  <c r="GI40" i="17"/>
  <c r="GJ40" i="17"/>
  <c r="GK40" i="17"/>
  <c r="GL40" i="17"/>
  <c r="GM40" i="17"/>
  <c r="GN40" i="17"/>
  <c r="GO40" i="17"/>
  <c r="GP40" i="17"/>
  <c r="GQ40" i="17"/>
  <c r="GR40" i="17"/>
  <c r="GS40" i="17"/>
  <c r="GT40" i="17"/>
  <c r="GU40" i="17"/>
  <c r="GV40" i="17"/>
  <c r="GW40" i="17"/>
  <c r="GX40" i="17"/>
  <c r="GY40" i="17"/>
  <c r="GZ40" i="17"/>
  <c r="HA40" i="17"/>
  <c r="HB40" i="17"/>
  <c r="HC40" i="17"/>
  <c r="HD40" i="17"/>
  <c r="HE40" i="17"/>
  <c r="HF40" i="17"/>
  <c r="HG40" i="17"/>
  <c r="HH40" i="17"/>
  <c r="HI40" i="17"/>
  <c r="HJ40" i="17"/>
  <c r="HK40" i="17"/>
  <c r="HL40" i="17"/>
  <c r="HM40" i="17"/>
  <c r="HN40" i="17"/>
  <c r="HO40" i="17"/>
  <c r="HP40" i="17"/>
  <c r="HQ40" i="17"/>
  <c r="HR40" i="17"/>
  <c r="HS40" i="17"/>
  <c r="HT40" i="17"/>
  <c r="HU40" i="17"/>
  <c r="HV40" i="17"/>
  <c r="HW40" i="17"/>
  <c r="HX40" i="17"/>
  <c r="HY40" i="17"/>
  <c r="HZ40" i="17"/>
  <c r="IA40" i="17"/>
  <c r="IB40" i="17"/>
  <c r="IC40" i="17"/>
  <c r="ID40" i="17"/>
  <c r="IE40" i="17"/>
  <c r="IF40" i="17"/>
  <c r="IG40" i="17"/>
  <c r="IH40" i="17"/>
  <c r="II40" i="17"/>
  <c r="IJ40" i="17"/>
  <c r="IK40" i="17"/>
  <c r="IL40" i="17"/>
  <c r="IM40" i="17"/>
  <c r="IN40" i="17"/>
  <c r="IO40" i="17"/>
  <c r="IP40" i="17"/>
  <c r="IQ40" i="17"/>
  <c r="IR40" i="17"/>
  <c r="IS40" i="17"/>
  <c r="IT40" i="17"/>
  <c r="IU40" i="17"/>
  <c r="IV40" i="17"/>
  <c r="A41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AS41" i="17"/>
  <c r="AT41" i="17"/>
  <c r="AU41" i="17"/>
  <c r="AV41" i="17"/>
  <c r="AW41" i="17"/>
  <c r="AX41" i="17"/>
  <c r="AY41" i="17"/>
  <c r="AZ41" i="17"/>
  <c r="BA41" i="17"/>
  <c r="BB41" i="17"/>
  <c r="BC41" i="17"/>
  <c r="BD41" i="17"/>
  <c r="BE41" i="17"/>
  <c r="BF41" i="17"/>
  <c r="BG41" i="17"/>
  <c r="BH41" i="17"/>
  <c r="BI41" i="17"/>
  <c r="BJ41" i="17"/>
  <c r="BK41" i="17"/>
  <c r="BL41" i="17"/>
  <c r="BM41" i="17"/>
  <c r="BN41" i="17"/>
  <c r="BO41" i="17"/>
  <c r="BP41" i="17"/>
  <c r="BQ41" i="17"/>
  <c r="BR41" i="17"/>
  <c r="BS41" i="17"/>
  <c r="BT41" i="17"/>
  <c r="BU41" i="17"/>
  <c r="BV41" i="17"/>
  <c r="BW41" i="17"/>
  <c r="BX41" i="17"/>
  <c r="BY41" i="17"/>
  <c r="BZ41" i="17"/>
  <c r="CA41" i="17"/>
  <c r="CB41" i="17"/>
  <c r="CC41" i="17"/>
  <c r="CD41" i="17"/>
  <c r="CE41" i="17"/>
  <c r="CF41" i="17"/>
  <c r="CG41" i="17"/>
  <c r="CH41" i="17"/>
  <c r="CI41" i="17"/>
  <c r="CJ41" i="17"/>
  <c r="CK41" i="17"/>
  <c r="CL41" i="17"/>
  <c r="CM41" i="17"/>
  <c r="CN41" i="17"/>
  <c r="CO41" i="17"/>
  <c r="CP41" i="17"/>
  <c r="CQ41" i="17"/>
  <c r="CR41" i="17"/>
  <c r="CS41" i="17"/>
  <c r="CT41" i="17"/>
  <c r="CU41" i="17"/>
  <c r="CV41" i="17"/>
  <c r="CW41" i="17"/>
  <c r="CX41" i="17"/>
  <c r="CY41" i="17"/>
  <c r="CZ41" i="17"/>
  <c r="DA41" i="17"/>
  <c r="DB41" i="17"/>
  <c r="DC41" i="17"/>
  <c r="DD41" i="17"/>
  <c r="DE41" i="17"/>
  <c r="DF41" i="17"/>
  <c r="DG41" i="17"/>
  <c r="DH41" i="17"/>
  <c r="DI41" i="17"/>
  <c r="DJ41" i="17"/>
  <c r="DK41" i="17"/>
  <c r="DL41" i="17"/>
  <c r="DM41" i="17"/>
  <c r="DN41" i="17"/>
  <c r="DO41" i="17"/>
  <c r="DP41" i="17"/>
  <c r="DQ41" i="17"/>
  <c r="DR41" i="17"/>
  <c r="DS41" i="17"/>
  <c r="DT41" i="17"/>
  <c r="DU41" i="17"/>
  <c r="DV41" i="17"/>
  <c r="DW41" i="17"/>
  <c r="DX41" i="17"/>
  <c r="DY41" i="17"/>
  <c r="DZ41" i="17"/>
  <c r="EA41" i="17"/>
  <c r="EB41" i="17"/>
  <c r="EC41" i="17"/>
  <c r="ED41" i="17"/>
  <c r="EE41" i="17"/>
  <c r="EF41" i="17"/>
  <c r="EG41" i="17"/>
  <c r="EH41" i="17"/>
  <c r="EI41" i="17"/>
  <c r="EJ41" i="17"/>
  <c r="EK41" i="17"/>
  <c r="EL41" i="17"/>
  <c r="EM41" i="17"/>
  <c r="EN41" i="17"/>
  <c r="EO41" i="17"/>
  <c r="EP41" i="17"/>
  <c r="EQ41" i="17"/>
  <c r="ER41" i="17"/>
  <c r="ES41" i="17"/>
  <c r="ET41" i="17"/>
  <c r="EU41" i="17"/>
  <c r="EV41" i="17"/>
  <c r="EW41" i="17"/>
  <c r="EX41" i="17"/>
  <c r="EY41" i="17"/>
  <c r="EZ41" i="17"/>
  <c r="FA41" i="17"/>
  <c r="FB41" i="17"/>
  <c r="FC41" i="17"/>
  <c r="FD41" i="17"/>
  <c r="FE41" i="17"/>
  <c r="FF41" i="17"/>
  <c r="FG41" i="17"/>
  <c r="FH41" i="17"/>
  <c r="FI41" i="17"/>
  <c r="FJ41" i="17"/>
  <c r="FK41" i="17"/>
  <c r="FL41" i="17"/>
  <c r="FM41" i="17"/>
  <c r="FN41" i="17"/>
  <c r="FO41" i="17"/>
  <c r="FP41" i="17"/>
  <c r="FQ41" i="17"/>
  <c r="FR41" i="17"/>
  <c r="FS41" i="17"/>
  <c r="FT41" i="17"/>
  <c r="FU41" i="17"/>
  <c r="FV41" i="17"/>
  <c r="FW41" i="17"/>
  <c r="FX41" i="17"/>
  <c r="FY41" i="17"/>
  <c r="FZ41" i="17"/>
  <c r="GA41" i="17"/>
  <c r="GB41" i="17"/>
  <c r="GC41" i="17"/>
  <c r="GD41" i="17"/>
  <c r="GE41" i="17"/>
  <c r="GF41" i="17"/>
  <c r="GG41" i="17"/>
  <c r="GH41" i="17"/>
  <c r="GI41" i="17"/>
  <c r="GJ41" i="17"/>
  <c r="GK41" i="17"/>
  <c r="GL41" i="17"/>
  <c r="GM41" i="17"/>
  <c r="GN41" i="17"/>
  <c r="GO41" i="17"/>
  <c r="GP41" i="17"/>
  <c r="GQ41" i="17"/>
  <c r="GR41" i="17"/>
  <c r="GS41" i="17"/>
  <c r="GT41" i="17"/>
  <c r="GU41" i="17"/>
  <c r="GV41" i="17"/>
  <c r="GW41" i="17"/>
  <c r="GX41" i="17"/>
  <c r="GY41" i="17"/>
  <c r="GZ41" i="17"/>
  <c r="HA41" i="17"/>
  <c r="HB41" i="17"/>
  <c r="HC41" i="17"/>
  <c r="HD41" i="17"/>
  <c r="HE41" i="17"/>
  <c r="HF41" i="17"/>
  <c r="HG41" i="17"/>
  <c r="HH41" i="17"/>
  <c r="HI41" i="17"/>
  <c r="HJ41" i="17"/>
  <c r="HK41" i="17"/>
  <c r="HL41" i="17"/>
  <c r="HM41" i="17"/>
  <c r="HN41" i="17"/>
  <c r="HO41" i="17"/>
  <c r="HP41" i="17"/>
  <c r="HQ41" i="17"/>
  <c r="HR41" i="17"/>
  <c r="HS41" i="17"/>
  <c r="HT41" i="17"/>
  <c r="HU41" i="17"/>
  <c r="HV41" i="17"/>
  <c r="HW41" i="17"/>
  <c r="HX41" i="17"/>
  <c r="HY41" i="17"/>
  <c r="HZ41" i="17"/>
  <c r="IA41" i="17"/>
  <c r="IB41" i="17"/>
  <c r="IC41" i="17"/>
  <c r="ID41" i="17"/>
  <c r="IE41" i="17"/>
  <c r="IF41" i="17"/>
  <c r="IG41" i="17"/>
  <c r="IH41" i="17"/>
  <c r="II41" i="17"/>
  <c r="IJ41" i="17"/>
  <c r="IK41" i="17"/>
  <c r="IL41" i="17"/>
  <c r="IM41" i="17"/>
  <c r="IN41" i="17"/>
  <c r="IO41" i="17"/>
  <c r="IP41" i="17"/>
  <c r="IQ41" i="17"/>
  <c r="IR41" i="17"/>
  <c r="IS41" i="17"/>
  <c r="IT41" i="17"/>
  <c r="IU41" i="17"/>
  <c r="IV41" i="17"/>
  <c r="A42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S42" i="17"/>
  <c r="T42" i="17"/>
  <c r="U42" i="17"/>
  <c r="V42" i="17"/>
  <c r="W42" i="17"/>
  <c r="X42" i="17"/>
  <c r="Y42" i="17"/>
  <c r="Z42" i="17"/>
  <c r="AA42" i="17"/>
  <c r="AB42" i="17"/>
  <c r="AC42" i="17"/>
  <c r="AD42" i="17"/>
  <c r="AE42" i="17"/>
  <c r="AF42" i="17"/>
  <c r="AG42" i="17"/>
  <c r="AH42" i="17"/>
  <c r="AI42" i="17"/>
  <c r="AJ42" i="17"/>
  <c r="AK42" i="17"/>
  <c r="AL42" i="17"/>
  <c r="AM42" i="17"/>
  <c r="AN42" i="17"/>
  <c r="AO42" i="17"/>
  <c r="AP42" i="17"/>
  <c r="AQ42" i="17"/>
  <c r="AR42" i="17"/>
  <c r="AS42" i="17"/>
  <c r="AT42" i="17"/>
  <c r="AU42" i="17"/>
  <c r="AV42" i="17"/>
  <c r="AW42" i="17"/>
  <c r="AX42" i="17"/>
  <c r="AY42" i="17"/>
  <c r="AZ42" i="17"/>
  <c r="BA42" i="17"/>
  <c r="BB42" i="17"/>
  <c r="BC42" i="17"/>
  <c r="BD42" i="17"/>
  <c r="BE42" i="17"/>
  <c r="BF42" i="17"/>
  <c r="BG42" i="17"/>
  <c r="BH42" i="17"/>
  <c r="BI42" i="17"/>
  <c r="BJ42" i="17"/>
  <c r="BK42" i="17"/>
  <c r="BL42" i="17"/>
  <c r="BM42" i="17"/>
  <c r="BN42" i="17"/>
  <c r="BO42" i="17"/>
  <c r="BP42" i="17"/>
  <c r="BQ42" i="17"/>
  <c r="BR42" i="17"/>
  <c r="BS42" i="17"/>
  <c r="BT42" i="17"/>
  <c r="BU42" i="17"/>
  <c r="BV42" i="17"/>
  <c r="BW42" i="17"/>
  <c r="BX42" i="17"/>
  <c r="BY42" i="17"/>
  <c r="BZ42" i="17"/>
  <c r="CA42" i="17"/>
  <c r="CB42" i="17"/>
  <c r="CC42" i="17"/>
  <c r="CD42" i="17"/>
  <c r="CE42" i="17"/>
  <c r="CF42" i="17"/>
  <c r="CG42" i="17"/>
  <c r="CH42" i="17"/>
  <c r="CI42" i="17"/>
  <c r="CJ42" i="17"/>
  <c r="CK42" i="17"/>
  <c r="CL42" i="17"/>
  <c r="CM42" i="17"/>
  <c r="CN42" i="17"/>
  <c r="CO42" i="17"/>
  <c r="CP42" i="17"/>
  <c r="CQ42" i="17"/>
  <c r="CR42" i="17"/>
  <c r="CS42" i="17"/>
  <c r="CT42" i="17"/>
  <c r="CU42" i="17"/>
  <c r="CV42" i="17"/>
  <c r="CW42" i="17"/>
  <c r="CX42" i="17"/>
  <c r="CY42" i="17"/>
  <c r="CZ42" i="17"/>
  <c r="DA42" i="17"/>
  <c r="DB42" i="17"/>
  <c r="DC42" i="17"/>
  <c r="DD42" i="17"/>
  <c r="DE42" i="17"/>
  <c r="DF42" i="17"/>
  <c r="DG42" i="17"/>
  <c r="DH42" i="17"/>
  <c r="DI42" i="17"/>
  <c r="DJ42" i="17"/>
  <c r="DK42" i="17"/>
  <c r="DL42" i="17"/>
  <c r="DM42" i="17"/>
  <c r="DN42" i="17"/>
  <c r="DO42" i="17"/>
  <c r="DP42" i="17"/>
  <c r="DQ42" i="17"/>
  <c r="DR42" i="17"/>
  <c r="DS42" i="17"/>
  <c r="DT42" i="17"/>
  <c r="DU42" i="17"/>
  <c r="DV42" i="17"/>
  <c r="DW42" i="17"/>
  <c r="DX42" i="17"/>
  <c r="DY42" i="17"/>
  <c r="DZ42" i="17"/>
  <c r="EA42" i="17"/>
  <c r="EB42" i="17"/>
  <c r="EC42" i="17"/>
  <c r="ED42" i="17"/>
  <c r="EE42" i="17"/>
  <c r="EF42" i="17"/>
  <c r="EG42" i="17"/>
  <c r="EH42" i="17"/>
  <c r="EI42" i="17"/>
  <c r="EJ42" i="17"/>
  <c r="EK42" i="17"/>
  <c r="EL42" i="17"/>
  <c r="EM42" i="17"/>
  <c r="EN42" i="17"/>
  <c r="EO42" i="17"/>
  <c r="EP42" i="17"/>
  <c r="EQ42" i="17"/>
  <c r="ER42" i="17"/>
  <c r="ES42" i="17"/>
  <c r="ET42" i="17"/>
  <c r="EU42" i="17"/>
  <c r="EV42" i="17"/>
  <c r="EW42" i="17"/>
  <c r="EX42" i="17"/>
  <c r="EY42" i="17"/>
  <c r="EZ42" i="17"/>
  <c r="FA42" i="17"/>
  <c r="FB42" i="17"/>
  <c r="FC42" i="17"/>
  <c r="FD42" i="17"/>
  <c r="FE42" i="17"/>
  <c r="FF42" i="17"/>
  <c r="FG42" i="17"/>
  <c r="FH42" i="17"/>
  <c r="FI42" i="17"/>
  <c r="FJ42" i="17"/>
  <c r="FK42" i="17"/>
  <c r="FL42" i="17"/>
  <c r="FM42" i="17"/>
  <c r="FN42" i="17"/>
  <c r="FO42" i="17"/>
  <c r="FP42" i="17"/>
  <c r="FQ42" i="17"/>
  <c r="FR42" i="17"/>
  <c r="FS42" i="17"/>
  <c r="FT42" i="17"/>
  <c r="FU42" i="17"/>
  <c r="FV42" i="17"/>
  <c r="FW42" i="17"/>
  <c r="FX42" i="17"/>
  <c r="FY42" i="17"/>
  <c r="FZ42" i="17"/>
  <c r="GA42" i="17"/>
  <c r="GB42" i="17"/>
  <c r="GC42" i="17"/>
  <c r="GD42" i="17"/>
  <c r="GE42" i="17"/>
  <c r="GF42" i="17"/>
  <c r="GG42" i="17"/>
  <c r="GH42" i="17"/>
  <c r="GI42" i="17"/>
  <c r="GJ42" i="17"/>
  <c r="GK42" i="17"/>
  <c r="GL42" i="17"/>
  <c r="GM42" i="17"/>
  <c r="GN42" i="17"/>
  <c r="GO42" i="17"/>
  <c r="GP42" i="17"/>
  <c r="GQ42" i="17"/>
  <c r="GR42" i="17"/>
  <c r="GS42" i="17"/>
  <c r="GT42" i="17"/>
  <c r="GU42" i="17"/>
  <c r="GV42" i="17"/>
  <c r="GW42" i="17"/>
  <c r="GX42" i="17"/>
  <c r="GY42" i="17"/>
  <c r="GZ42" i="17"/>
  <c r="HA42" i="17"/>
  <c r="HB42" i="17"/>
  <c r="HC42" i="17"/>
  <c r="HD42" i="17"/>
  <c r="HE42" i="17"/>
  <c r="HF42" i="17"/>
  <c r="HG42" i="17"/>
  <c r="HH42" i="17"/>
  <c r="HI42" i="17"/>
  <c r="HJ42" i="17"/>
  <c r="HK42" i="17"/>
  <c r="HL42" i="17"/>
  <c r="HM42" i="17"/>
  <c r="HN42" i="17"/>
  <c r="HO42" i="17"/>
  <c r="HP42" i="17"/>
  <c r="HQ42" i="17"/>
  <c r="HR42" i="17"/>
  <c r="HS42" i="17"/>
  <c r="HT42" i="17"/>
  <c r="HU42" i="17"/>
  <c r="HV42" i="17"/>
  <c r="HW42" i="17"/>
  <c r="HX42" i="17"/>
  <c r="HY42" i="17"/>
  <c r="HZ42" i="17"/>
  <c r="IA42" i="17"/>
  <c r="IB42" i="17"/>
  <c r="IC42" i="17"/>
  <c r="ID42" i="17"/>
  <c r="IE42" i="17"/>
  <c r="IF42" i="17"/>
  <c r="IG42" i="17"/>
  <c r="IH42" i="17"/>
  <c r="II42" i="17"/>
  <c r="IJ42" i="17"/>
  <c r="IK42" i="17"/>
  <c r="IL42" i="17"/>
  <c r="IM42" i="17"/>
  <c r="IN42" i="17"/>
  <c r="IO42" i="17"/>
  <c r="IP42" i="17"/>
  <c r="IQ42" i="17"/>
  <c r="IR42" i="17"/>
  <c r="IS42" i="17"/>
  <c r="IT42" i="17"/>
  <c r="IU42" i="17"/>
  <c r="IV42" i="17"/>
  <c r="A43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O43" i="17"/>
  <c r="P43" i="17"/>
  <c r="Q43" i="17"/>
  <c r="R43" i="17"/>
  <c r="S43" i="17"/>
  <c r="T43" i="17"/>
  <c r="U43" i="17"/>
  <c r="V43" i="17"/>
  <c r="W43" i="17"/>
  <c r="X43" i="17"/>
  <c r="Y43" i="17"/>
  <c r="Z43" i="17"/>
  <c r="AA43" i="17"/>
  <c r="AB43" i="17"/>
  <c r="AC43" i="17"/>
  <c r="AD43" i="17"/>
  <c r="AE43" i="17"/>
  <c r="AF43" i="17"/>
  <c r="AG43" i="17"/>
  <c r="AH43" i="17"/>
  <c r="AI43" i="17"/>
  <c r="AJ43" i="17"/>
  <c r="AK43" i="17"/>
  <c r="AL43" i="17"/>
  <c r="AM43" i="17"/>
  <c r="AN43" i="17"/>
  <c r="AO43" i="17"/>
  <c r="AP43" i="17"/>
  <c r="AQ43" i="17"/>
  <c r="AR43" i="17"/>
  <c r="AS43" i="17"/>
  <c r="AT43" i="17"/>
  <c r="AU43" i="17"/>
  <c r="AV43" i="17"/>
  <c r="AW43" i="17"/>
  <c r="AX43" i="17"/>
  <c r="AY43" i="17"/>
  <c r="AZ43" i="17"/>
  <c r="BA43" i="17"/>
  <c r="BB43" i="17"/>
  <c r="BC43" i="17"/>
  <c r="BD43" i="17"/>
  <c r="BE43" i="17"/>
  <c r="BF43" i="17"/>
  <c r="BG43" i="17"/>
  <c r="BH43" i="17"/>
  <c r="BI43" i="17"/>
  <c r="BJ43" i="17"/>
  <c r="BK43" i="17"/>
  <c r="BL43" i="17"/>
  <c r="BM43" i="17"/>
  <c r="BN43" i="17"/>
  <c r="BO43" i="17"/>
  <c r="BP43" i="17"/>
  <c r="BQ43" i="17"/>
  <c r="BR43" i="17"/>
  <c r="BS43" i="17"/>
  <c r="BT43" i="17"/>
  <c r="BU43" i="17"/>
  <c r="BV43" i="17"/>
  <c r="BW43" i="17"/>
  <c r="BX43" i="17"/>
  <c r="BY43" i="17"/>
  <c r="BZ43" i="17"/>
  <c r="CA43" i="17"/>
  <c r="CB43" i="17"/>
  <c r="CC43" i="17"/>
  <c r="CD43" i="17"/>
  <c r="CE43" i="17"/>
  <c r="CF43" i="17"/>
  <c r="CG43" i="17"/>
  <c r="CH43" i="17"/>
  <c r="CI43" i="17"/>
  <c r="CJ43" i="17"/>
  <c r="CK43" i="17"/>
  <c r="CL43" i="17"/>
  <c r="CM43" i="17"/>
  <c r="CN43" i="17"/>
  <c r="CO43" i="17"/>
  <c r="CP43" i="17"/>
  <c r="CQ43" i="17"/>
  <c r="CR43" i="17"/>
  <c r="CS43" i="17"/>
  <c r="CT43" i="17"/>
  <c r="CU43" i="17"/>
  <c r="CV43" i="17"/>
  <c r="CW43" i="17"/>
  <c r="CX43" i="17"/>
  <c r="CY43" i="17"/>
  <c r="CZ43" i="17"/>
  <c r="DA43" i="17"/>
  <c r="DB43" i="17"/>
  <c r="DC43" i="17"/>
  <c r="DD43" i="17"/>
  <c r="DE43" i="17"/>
  <c r="DF43" i="17"/>
  <c r="DG43" i="17"/>
  <c r="DH43" i="17"/>
  <c r="DI43" i="17"/>
  <c r="DJ43" i="17"/>
  <c r="DK43" i="17"/>
  <c r="DL43" i="17"/>
  <c r="DM43" i="17"/>
  <c r="DN43" i="17"/>
  <c r="DO43" i="17"/>
  <c r="DP43" i="17"/>
  <c r="DQ43" i="17"/>
  <c r="DR43" i="17"/>
  <c r="DS43" i="17"/>
  <c r="DT43" i="17"/>
  <c r="DU43" i="17"/>
  <c r="DV43" i="17"/>
  <c r="DW43" i="17"/>
  <c r="DX43" i="17"/>
  <c r="DY43" i="17"/>
  <c r="DZ43" i="17"/>
  <c r="EA43" i="17"/>
  <c r="EB43" i="17"/>
  <c r="EC43" i="17"/>
  <c r="ED43" i="17"/>
  <c r="EE43" i="17"/>
  <c r="EF43" i="17"/>
  <c r="EG43" i="17"/>
  <c r="EH43" i="17"/>
  <c r="EI43" i="17"/>
  <c r="EJ43" i="17"/>
  <c r="EK43" i="17"/>
  <c r="EL43" i="17"/>
  <c r="EM43" i="17"/>
  <c r="EN43" i="17"/>
  <c r="EO43" i="17"/>
  <c r="EP43" i="17"/>
  <c r="EQ43" i="17"/>
  <c r="ER43" i="17"/>
  <c r="ES43" i="17"/>
  <c r="ET43" i="17"/>
  <c r="EU43" i="17"/>
  <c r="EV43" i="17"/>
  <c r="EW43" i="17"/>
  <c r="EX43" i="17"/>
  <c r="EY43" i="17"/>
  <c r="EZ43" i="17"/>
  <c r="FA43" i="17"/>
  <c r="FB43" i="17"/>
  <c r="FC43" i="17"/>
  <c r="FD43" i="17"/>
  <c r="FE43" i="17"/>
  <c r="FF43" i="17"/>
  <c r="FG43" i="17"/>
  <c r="FH43" i="17"/>
  <c r="FI43" i="17"/>
  <c r="FJ43" i="17"/>
  <c r="FK43" i="17"/>
  <c r="FL43" i="17"/>
  <c r="FM43" i="17"/>
  <c r="FN43" i="17"/>
  <c r="FO43" i="17"/>
  <c r="FP43" i="17"/>
  <c r="FQ43" i="17"/>
  <c r="FR43" i="17"/>
  <c r="FS43" i="17"/>
  <c r="FT43" i="17"/>
  <c r="FU43" i="17"/>
  <c r="FV43" i="17"/>
  <c r="FW43" i="17"/>
  <c r="FX43" i="17"/>
  <c r="FY43" i="17"/>
  <c r="FZ43" i="17"/>
  <c r="GA43" i="17"/>
  <c r="GB43" i="17"/>
  <c r="GC43" i="17"/>
  <c r="GD43" i="17"/>
  <c r="GE43" i="17"/>
  <c r="GF43" i="17"/>
  <c r="GG43" i="17"/>
  <c r="GH43" i="17"/>
  <c r="GI43" i="17"/>
  <c r="GJ43" i="17"/>
  <c r="GK43" i="17"/>
  <c r="GL43" i="17"/>
  <c r="GM43" i="17"/>
  <c r="GN43" i="17"/>
  <c r="GO43" i="17"/>
  <c r="GP43" i="17"/>
  <c r="GQ43" i="17"/>
  <c r="GR43" i="17"/>
  <c r="GS43" i="17"/>
  <c r="GT43" i="17"/>
  <c r="GU43" i="17"/>
  <c r="GV43" i="17"/>
  <c r="GW43" i="17"/>
  <c r="GX43" i="17"/>
  <c r="GY43" i="17"/>
  <c r="GZ43" i="17"/>
  <c r="HA43" i="17"/>
  <c r="HB43" i="17"/>
  <c r="HC43" i="17"/>
  <c r="HD43" i="17"/>
  <c r="HE43" i="17"/>
  <c r="HF43" i="17"/>
  <c r="HG43" i="17"/>
  <c r="HH43" i="17"/>
  <c r="HI43" i="17"/>
  <c r="HJ43" i="17"/>
  <c r="HK43" i="17"/>
  <c r="HL43" i="17"/>
  <c r="HM43" i="17"/>
  <c r="HN43" i="17"/>
  <c r="HO43" i="17"/>
  <c r="HP43" i="17"/>
  <c r="HQ43" i="17"/>
  <c r="HR43" i="17"/>
  <c r="HS43" i="17"/>
  <c r="HT43" i="17"/>
  <c r="HU43" i="17"/>
  <c r="HV43" i="17"/>
  <c r="HW43" i="17"/>
  <c r="HX43" i="17"/>
  <c r="HY43" i="17"/>
  <c r="HZ43" i="17"/>
  <c r="IA43" i="17"/>
  <c r="IB43" i="17"/>
  <c r="IC43" i="17"/>
  <c r="ID43" i="17"/>
  <c r="IE43" i="17"/>
  <c r="IF43" i="17"/>
  <c r="IG43" i="17"/>
  <c r="IH43" i="17"/>
  <c r="II43" i="17"/>
  <c r="IJ43" i="17"/>
  <c r="IK43" i="17"/>
  <c r="IL43" i="17"/>
  <c r="IM43" i="17"/>
  <c r="IN43" i="17"/>
  <c r="IO43" i="17"/>
  <c r="IP43" i="17"/>
  <c r="IQ43" i="17"/>
  <c r="IR43" i="17"/>
  <c r="IS43" i="17"/>
  <c r="IT43" i="17"/>
  <c r="IU43" i="17"/>
  <c r="IV43" i="17"/>
  <c r="A44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AS44" i="17"/>
  <c r="AT44" i="17"/>
  <c r="AU44" i="17"/>
  <c r="AV44" i="17"/>
  <c r="AW44" i="17"/>
  <c r="AX44" i="17"/>
  <c r="AY44" i="17"/>
  <c r="AZ44" i="17"/>
  <c r="BA44" i="17"/>
  <c r="BB44" i="17"/>
  <c r="BC44" i="17"/>
  <c r="BD44" i="17"/>
  <c r="BE44" i="17"/>
  <c r="BF44" i="17"/>
  <c r="BG44" i="17"/>
  <c r="BH44" i="17"/>
  <c r="BI44" i="17"/>
  <c r="BJ44" i="17"/>
  <c r="BK44" i="17"/>
  <c r="BL44" i="17"/>
  <c r="BM44" i="17"/>
  <c r="BN44" i="17"/>
  <c r="BO44" i="17"/>
  <c r="BP44" i="17"/>
  <c r="BQ44" i="17"/>
  <c r="BR44" i="17"/>
  <c r="BS44" i="17"/>
  <c r="BT44" i="17"/>
  <c r="BU44" i="17"/>
  <c r="BV44" i="17"/>
  <c r="BW44" i="17"/>
  <c r="BX44" i="17"/>
  <c r="BY44" i="17"/>
  <c r="BZ44" i="17"/>
  <c r="CA44" i="17"/>
  <c r="CB44" i="17"/>
  <c r="CC44" i="17"/>
  <c r="CD44" i="17"/>
  <c r="CE44" i="17"/>
  <c r="CF44" i="17"/>
  <c r="CG44" i="17"/>
  <c r="CH44" i="17"/>
  <c r="CI44" i="17"/>
  <c r="CJ44" i="17"/>
  <c r="CK44" i="17"/>
  <c r="CL44" i="17"/>
  <c r="CM44" i="17"/>
  <c r="CN44" i="17"/>
  <c r="CO44" i="17"/>
  <c r="CP44" i="17"/>
  <c r="CQ44" i="17"/>
  <c r="CR44" i="17"/>
  <c r="CS44" i="17"/>
  <c r="CT44" i="17"/>
  <c r="CU44" i="17"/>
  <c r="CV44" i="17"/>
  <c r="CW44" i="17"/>
  <c r="CX44" i="17"/>
  <c r="CY44" i="17"/>
  <c r="CZ44" i="17"/>
  <c r="DA44" i="17"/>
  <c r="DB44" i="17"/>
  <c r="DC44" i="17"/>
  <c r="DD44" i="17"/>
  <c r="DE44" i="17"/>
  <c r="DF44" i="17"/>
  <c r="DG44" i="17"/>
  <c r="DH44" i="17"/>
  <c r="DI44" i="17"/>
  <c r="DJ44" i="17"/>
  <c r="DK44" i="17"/>
  <c r="DL44" i="17"/>
  <c r="DM44" i="17"/>
  <c r="DN44" i="17"/>
  <c r="DO44" i="17"/>
  <c r="DP44" i="17"/>
  <c r="DQ44" i="17"/>
  <c r="DR44" i="17"/>
  <c r="DS44" i="17"/>
  <c r="DT44" i="17"/>
  <c r="DU44" i="17"/>
  <c r="DV44" i="17"/>
  <c r="DW44" i="17"/>
  <c r="DX44" i="17"/>
  <c r="DY44" i="17"/>
  <c r="DZ44" i="17"/>
  <c r="EA44" i="17"/>
  <c r="EB44" i="17"/>
  <c r="EC44" i="17"/>
  <c r="ED44" i="17"/>
  <c r="EE44" i="17"/>
  <c r="EF44" i="17"/>
  <c r="EG44" i="17"/>
  <c r="EH44" i="17"/>
  <c r="EI44" i="17"/>
  <c r="EJ44" i="17"/>
  <c r="EK44" i="17"/>
  <c r="EL44" i="17"/>
  <c r="EM44" i="17"/>
  <c r="EN44" i="17"/>
  <c r="EO44" i="17"/>
  <c r="EP44" i="17"/>
  <c r="EQ44" i="17"/>
  <c r="ER44" i="17"/>
  <c r="ES44" i="17"/>
  <c r="ET44" i="17"/>
  <c r="EU44" i="17"/>
  <c r="EV44" i="17"/>
  <c r="EW44" i="17"/>
  <c r="EX44" i="17"/>
  <c r="EY44" i="17"/>
  <c r="EZ44" i="17"/>
  <c r="FA44" i="17"/>
  <c r="FB44" i="17"/>
  <c r="FC44" i="17"/>
  <c r="FD44" i="17"/>
  <c r="FE44" i="17"/>
  <c r="FF44" i="17"/>
  <c r="FG44" i="17"/>
  <c r="FH44" i="17"/>
  <c r="FI44" i="17"/>
  <c r="FJ44" i="17"/>
  <c r="FK44" i="17"/>
  <c r="FL44" i="17"/>
  <c r="FM44" i="17"/>
  <c r="FN44" i="17"/>
  <c r="FO44" i="17"/>
  <c r="FP44" i="17"/>
  <c r="FQ44" i="17"/>
  <c r="FR44" i="17"/>
  <c r="FS44" i="17"/>
  <c r="FT44" i="17"/>
  <c r="FU44" i="17"/>
  <c r="FV44" i="17"/>
  <c r="FW44" i="17"/>
  <c r="FX44" i="17"/>
  <c r="FY44" i="17"/>
  <c r="FZ44" i="17"/>
  <c r="GA44" i="17"/>
  <c r="GB44" i="17"/>
  <c r="GC44" i="17"/>
  <c r="GD44" i="17"/>
  <c r="GE44" i="17"/>
  <c r="GF44" i="17"/>
  <c r="GG44" i="17"/>
  <c r="GH44" i="17"/>
  <c r="GI44" i="17"/>
  <c r="GJ44" i="17"/>
  <c r="GK44" i="17"/>
  <c r="GL44" i="17"/>
  <c r="GM44" i="17"/>
  <c r="GN44" i="17"/>
  <c r="GO44" i="17"/>
  <c r="GP44" i="17"/>
  <c r="GQ44" i="17"/>
  <c r="GR44" i="17"/>
  <c r="GS44" i="17"/>
  <c r="GT44" i="17"/>
  <c r="GU44" i="17"/>
  <c r="GV44" i="17"/>
  <c r="GW44" i="17"/>
  <c r="GX44" i="17"/>
  <c r="GY44" i="17"/>
  <c r="GZ44" i="17"/>
  <c r="HA44" i="17"/>
  <c r="HB44" i="17"/>
  <c r="HC44" i="17"/>
  <c r="HD44" i="17"/>
  <c r="HE44" i="17"/>
  <c r="HF44" i="17"/>
  <c r="HG44" i="17"/>
  <c r="HH44" i="17"/>
  <c r="HI44" i="17"/>
  <c r="HJ44" i="17"/>
  <c r="HK44" i="17"/>
  <c r="HL44" i="17"/>
  <c r="HM44" i="17"/>
  <c r="HN44" i="17"/>
  <c r="HO44" i="17"/>
  <c r="HP44" i="17"/>
  <c r="HQ44" i="17"/>
  <c r="HR44" i="17"/>
  <c r="HS44" i="17"/>
  <c r="HT44" i="17"/>
  <c r="HU44" i="17"/>
  <c r="HV44" i="17"/>
  <c r="HW44" i="17"/>
  <c r="HX44" i="17"/>
  <c r="HY44" i="17"/>
  <c r="HZ44" i="17"/>
  <c r="IA44" i="17"/>
  <c r="IB44" i="17"/>
  <c r="IC44" i="17"/>
  <c r="ID44" i="17"/>
  <c r="IE44" i="17"/>
  <c r="IF44" i="17"/>
  <c r="IG44" i="17"/>
  <c r="IH44" i="17"/>
  <c r="II44" i="17"/>
  <c r="IJ44" i="17"/>
  <c r="IK44" i="17"/>
  <c r="IL44" i="17"/>
  <c r="IM44" i="17"/>
  <c r="IN44" i="17"/>
  <c r="IO44" i="17"/>
  <c r="IP44" i="17"/>
  <c r="IQ44" i="17"/>
  <c r="IR44" i="17"/>
  <c r="IS44" i="17"/>
  <c r="IT44" i="17"/>
  <c r="IU44" i="17"/>
  <c r="IV44" i="17"/>
  <c r="A45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AS45" i="17"/>
  <c r="AT45" i="17"/>
  <c r="AU45" i="17"/>
  <c r="AV45" i="17"/>
  <c r="AW45" i="17"/>
  <c r="AX45" i="17"/>
  <c r="AY45" i="17"/>
  <c r="AZ45" i="17"/>
  <c r="BA45" i="17"/>
  <c r="BB45" i="17"/>
  <c r="BC45" i="17"/>
  <c r="BD45" i="17"/>
  <c r="BE45" i="17"/>
  <c r="BF45" i="17"/>
  <c r="BG45" i="17"/>
  <c r="BH45" i="17"/>
  <c r="BI45" i="17"/>
  <c r="BJ45" i="17"/>
  <c r="BK45" i="17"/>
  <c r="BL45" i="17"/>
  <c r="BM45" i="17"/>
  <c r="BN45" i="17"/>
  <c r="BO45" i="17"/>
  <c r="BP45" i="17"/>
  <c r="BQ45" i="17"/>
  <c r="BR45" i="17"/>
  <c r="BS45" i="17"/>
  <c r="BT45" i="17"/>
  <c r="BU45" i="17"/>
  <c r="BV45" i="17"/>
  <c r="BW45" i="17"/>
  <c r="BX45" i="17"/>
  <c r="BY45" i="17"/>
  <c r="BZ45" i="17"/>
  <c r="CA45" i="17"/>
  <c r="CB45" i="17"/>
  <c r="CC45" i="17"/>
  <c r="CD45" i="17"/>
  <c r="CE45" i="17"/>
  <c r="CF45" i="17"/>
  <c r="CG45" i="17"/>
  <c r="CH45" i="17"/>
  <c r="CI45" i="17"/>
  <c r="CJ45" i="17"/>
  <c r="CK45" i="17"/>
  <c r="CL45" i="17"/>
  <c r="CM45" i="17"/>
  <c r="CN45" i="17"/>
  <c r="CO45" i="17"/>
  <c r="CP45" i="17"/>
  <c r="CQ45" i="17"/>
  <c r="CR45" i="17"/>
  <c r="CS45" i="17"/>
  <c r="CT45" i="17"/>
  <c r="CU45" i="17"/>
  <c r="CV45" i="17"/>
  <c r="CW45" i="17"/>
  <c r="CX45" i="17"/>
  <c r="CY45" i="17"/>
  <c r="CZ45" i="17"/>
  <c r="DA45" i="17"/>
  <c r="DB45" i="17"/>
  <c r="DC45" i="17"/>
  <c r="DD45" i="17"/>
  <c r="DE45" i="17"/>
  <c r="DF45" i="17"/>
  <c r="DG45" i="17"/>
  <c r="DH45" i="17"/>
  <c r="DI45" i="17"/>
  <c r="DJ45" i="17"/>
  <c r="DK45" i="17"/>
  <c r="DL45" i="17"/>
  <c r="DM45" i="17"/>
  <c r="DN45" i="17"/>
  <c r="DO45" i="17"/>
  <c r="DP45" i="17"/>
  <c r="DQ45" i="17"/>
  <c r="DR45" i="17"/>
  <c r="DS45" i="17"/>
  <c r="DT45" i="17"/>
  <c r="DU45" i="17"/>
  <c r="DV45" i="17"/>
  <c r="DW45" i="17"/>
  <c r="DX45" i="17"/>
  <c r="DY45" i="17"/>
  <c r="DZ45" i="17"/>
  <c r="EA45" i="17"/>
  <c r="EB45" i="17"/>
  <c r="EC45" i="17"/>
  <c r="ED45" i="17"/>
  <c r="EE45" i="17"/>
  <c r="EF45" i="17"/>
  <c r="EG45" i="17"/>
  <c r="EH45" i="17"/>
  <c r="EI45" i="17"/>
  <c r="EJ45" i="17"/>
  <c r="EK45" i="17"/>
  <c r="EL45" i="17"/>
  <c r="EM45" i="17"/>
  <c r="EN45" i="17"/>
  <c r="EO45" i="17"/>
  <c r="EP45" i="17"/>
  <c r="EQ45" i="17"/>
  <c r="ER45" i="17"/>
  <c r="ES45" i="17"/>
  <c r="ET45" i="17"/>
  <c r="EU45" i="17"/>
  <c r="EV45" i="17"/>
  <c r="EW45" i="17"/>
  <c r="EX45" i="17"/>
  <c r="EY45" i="17"/>
  <c r="EZ45" i="17"/>
  <c r="FA45" i="17"/>
  <c r="FB45" i="17"/>
  <c r="FC45" i="17"/>
  <c r="FD45" i="17"/>
  <c r="FE45" i="17"/>
  <c r="FF45" i="17"/>
  <c r="FG45" i="17"/>
  <c r="FH45" i="17"/>
  <c r="FI45" i="17"/>
  <c r="FJ45" i="17"/>
  <c r="FK45" i="17"/>
  <c r="FL45" i="17"/>
  <c r="FM45" i="17"/>
  <c r="FN45" i="17"/>
  <c r="FO45" i="17"/>
  <c r="FP45" i="17"/>
  <c r="FQ45" i="17"/>
  <c r="FR45" i="17"/>
  <c r="FS45" i="17"/>
  <c r="FT45" i="17"/>
  <c r="FU45" i="17"/>
  <c r="FV45" i="17"/>
  <c r="FW45" i="17"/>
  <c r="FX45" i="17"/>
  <c r="FY45" i="17"/>
  <c r="FZ45" i="17"/>
  <c r="GA45" i="17"/>
  <c r="GB45" i="17"/>
  <c r="GC45" i="17"/>
  <c r="GD45" i="17"/>
  <c r="GE45" i="17"/>
  <c r="GF45" i="17"/>
  <c r="GG45" i="17"/>
  <c r="GH45" i="17"/>
  <c r="GI45" i="17"/>
  <c r="GJ45" i="17"/>
  <c r="GK45" i="17"/>
  <c r="GL45" i="17"/>
  <c r="GM45" i="17"/>
  <c r="GN45" i="17"/>
  <c r="GO45" i="17"/>
  <c r="GP45" i="17"/>
  <c r="GQ45" i="17"/>
  <c r="GR45" i="17"/>
  <c r="GS45" i="17"/>
  <c r="GT45" i="17"/>
  <c r="GU45" i="17"/>
  <c r="GV45" i="17"/>
  <c r="GW45" i="17"/>
  <c r="GX45" i="17"/>
  <c r="GY45" i="17"/>
  <c r="GZ45" i="17"/>
  <c r="HA45" i="17"/>
  <c r="HB45" i="17"/>
  <c r="HC45" i="17"/>
  <c r="HD45" i="17"/>
  <c r="HE45" i="17"/>
  <c r="HF45" i="17"/>
  <c r="HG45" i="17"/>
  <c r="HH45" i="17"/>
  <c r="HI45" i="17"/>
  <c r="HJ45" i="17"/>
  <c r="HK45" i="17"/>
  <c r="HL45" i="17"/>
  <c r="HM45" i="17"/>
  <c r="HN45" i="17"/>
  <c r="HO45" i="17"/>
  <c r="HP45" i="17"/>
  <c r="HQ45" i="17"/>
  <c r="HR45" i="17"/>
  <c r="HS45" i="17"/>
  <c r="HT45" i="17"/>
  <c r="HU45" i="17"/>
  <c r="HV45" i="17"/>
  <c r="HW45" i="17"/>
  <c r="HX45" i="17"/>
  <c r="HY45" i="17"/>
  <c r="HZ45" i="17"/>
  <c r="IA45" i="17"/>
  <c r="IB45" i="17"/>
  <c r="IC45" i="17"/>
  <c r="ID45" i="17"/>
  <c r="IE45" i="17"/>
  <c r="IF45" i="17"/>
  <c r="IG45" i="17"/>
  <c r="IH45" i="17"/>
  <c r="II45" i="17"/>
  <c r="IJ45" i="17"/>
  <c r="IK45" i="17"/>
  <c r="IL45" i="17"/>
  <c r="IM45" i="17"/>
  <c r="IN45" i="17"/>
  <c r="IO45" i="17"/>
  <c r="IP45" i="17"/>
  <c r="IQ45" i="17"/>
  <c r="IR45" i="17"/>
  <c r="IS45" i="17"/>
  <c r="IT45" i="17"/>
  <c r="IU45" i="17"/>
  <c r="IV45" i="17"/>
  <c r="A46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O46" i="17"/>
  <c r="P46" i="17"/>
  <c r="Q46" i="17"/>
  <c r="R46" i="17"/>
  <c r="S46" i="17"/>
  <c r="T46" i="17"/>
  <c r="U46" i="17"/>
  <c r="V46" i="17"/>
  <c r="W46" i="17"/>
  <c r="X46" i="17"/>
  <c r="Y46" i="17"/>
  <c r="Z46" i="17"/>
  <c r="AA46" i="17"/>
  <c r="AB46" i="17"/>
  <c r="AC46" i="17"/>
  <c r="AD46" i="17"/>
  <c r="AE46" i="17"/>
  <c r="AF46" i="17"/>
  <c r="AG46" i="17"/>
  <c r="AH46" i="17"/>
  <c r="AI46" i="17"/>
  <c r="AJ46" i="17"/>
  <c r="AK46" i="17"/>
  <c r="AL46" i="17"/>
  <c r="AM46" i="17"/>
  <c r="AN46" i="17"/>
  <c r="AO46" i="17"/>
  <c r="AP46" i="17"/>
  <c r="AQ46" i="17"/>
  <c r="AR46" i="17"/>
  <c r="AS46" i="17"/>
  <c r="AT46" i="17"/>
  <c r="AU46" i="17"/>
  <c r="AV46" i="17"/>
  <c r="AW46" i="17"/>
  <c r="AX46" i="17"/>
  <c r="AY46" i="17"/>
  <c r="AZ46" i="17"/>
  <c r="BA46" i="17"/>
  <c r="BB46" i="17"/>
  <c r="BC46" i="17"/>
  <c r="BD46" i="17"/>
  <c r="BE46" i="17"/>
  <c r="BF46" i="17"/>
  <c r="BG46" i="17"/>
  <c r="BH46" i="17"/>
  <c r="BI46" i="17"/>
  <c r="BJ46" i="17"/>
  <c r="BK46" i="17"/>
  <c r="BL46" i="17"/>
  <c r="BM46" i="17"/>
  <c r="BN46" i="17"/>
  <c r="BO46" i="17"/>
  <c r="BP46" i="17"/>
  <c r="BQ46" i="17"/>
  <c r="BR46" i="17"/>
  <c r="BS46" i="17"/>
  <c r="BT46" i="17"/>
  <c r="BU46" i="17"/>
  <c r="BV46" i="17"/>
  <c r="BW46" i="17"/>
  <c r="BX46" i="17"/>
  <c r="BY46" i="17"/>
  <c r="BZ46" i="17"/>
  <c r="CA46" i="17"/>
  <c r="CB46" i="17"/>
  <c r="CC46" i="17"/>
  <c r="CD46" i="17"/>
  <c r="CE46" i="17"/>
  <c r="CF46" i="17"/>
  <c r="CG46" i="17"/>
  <c r="CH46" i="17"/>
  <c r="CI46" i="17"/>
  <c r="CJ46" i="17"/>
  <c r="CK46" i="17"/>
  <c r="CL46" i="17"/>
  <c r="CM46" i="17"/>
  <c r="CN46" i="17"/>
  <c r="CO46" i="17"/>
  <c r="CP46" i="17"/>
  <c r="CQ46" i="17"/>
  <c r="CR46" i="17"/>
  <c r="CS46" i="17"/>
  <c r="CT46" i="17"/>
  <c r="CU46" i="17"/>
  <c r="CV46" i="17"/>
  <c r="CW46" i="17"/>
  <c r="CX46" i="17"/>
  <c r="CY46" i="17"/>
  <c r="CZ46" i="17"/>
  <c r="DA46" i="17"/>
  <c r="DB46" i="17"/>
  <c r="DC46" i="17"/>
  <c r="DD46" i="17"/>
  <c r="DE46" i="17"/>
  <c r="DF46" i="17"/>
  <c r="DG46" i="17"/>
  <c r="DH46" i="17"/>
  <c r="DI46" i="17"/>
  <c r="DJ46" i="17"/>
  <c r="DK46" i="17"/>
  <c r="DL46" i="17"/>
  <c r="DM46" i="17"/>
  <c r="DN46" i="17"/>
  <c r="DO46" i="17"/>
  <c r="DP46" i="17"/>
  <c r="DQ46" i="17"/>
  <c r="DR46" i="17"/>
  <c r="DS46" i="17"/>
  <c r="DT46" i="17"/>
  <c r="DU46" i="17"/>
  <c r="DV46" i="17"/>
  <c r="DW46" i="17"/>
  <c r="DX46" i="17"/>
  <c r="DY46" i="17"/>
  <c r="DZ46" i="17"/>
  <c r="EA46" i="17"/>
  <c r="EB46" i="17"/>
  <c r="EC46" i="17"/>
  <c r="ED46" i="17"/>
  <c r="EE46" i="17"/>
  <c r="EF46" i="17"/>
  <c r="EG46" i="17"/>
  <c r="EH46" i="17"/>
  <c r="EI46" i="17"/>
  <c r="EJ46" i="17"/>
  <c r="EK46" i="17"/>
  <c r="EL46" i="17"/>
  <c r="EM46" i="17"/>
  <c r="EN46" i="17"/>
  <c r="EO46" i="17"/>
  <c r="EP46" i="17"/>
  <c r="EQ46" i="17"/>
  <c r="ER46" i="17"/>
  <c r="ES46" i="17"/>
  <c r="ET46" i="17"/>
  <c r="EU46" i="17"/>
  <c r="EV46" i="17"/>
  <c r="EW46" i="17"/>
  <c r="EX46" i="17"/>
  <c r="EY46" i="17"/>
  <c r="EZ46" i="17"/>
  <c r="FA46" i="17"/>
  <c r="FB46" i="17"/>
  <c r="FC46" i="17"/>
  <c r="FD46" i="17"/>
  <c r="FE46" i="17"/>
  <c r="FF46" i="17"/>
  <c r="FG46" i="17"/>
  <c r="FH46" i="17"/>
  <c r="FI46" i="17"/>
  <c r="FJ46" i="17"/>
  <c r="FK46" i="17"/>
  <c r="FL46" i="17"/>
  <c r="FM46" i="17"/>
  <c r="FN46" i="17"/>
  <c r="FO46" i="17"/>
  <c r="FP46" i="17"/>
  <c r="FQ46" i="17"/>
  <c r="FR46" i="17"/>
  <c r="FS46" i="17"/>
  <c r="FT46" i="17"/>
  <c r="FU46" i="17"/>
  <c r="FV46" i="17"/>
  <c r="FW46" i="17"/>
  <c r="FX46" i="17"/>
  <c r="FY46" i="17"/>
  <c r="FZ46" i="17"/>
  <c r="GA46" i="17"/>
  <c r="GB46" i="17"/>
  <c r="GC46" i="17"/>
  <c r="GD46" i="17"/>
  <c r="GE46" i="17"/>
  <c r="GF46" i="17"/>
  <c r="GG46" i="17"/>
  <c r="GH46" i="17"/>
  <c r="GI46" i="17"/>
  <c r="GJ46" i="17"/>
  <c r="GK46" i="17"/>
  <c r="GL46" i="17"/>
  <c r="GM46" i="17"/>
  <c r="GN46" i="17"/>
  <c r="GO46" i="17"/>
  <c r="GP46" i="17"/>
  <c r="GQ46" i="17"/>
  <c r="GR46" i="17"/>
  <c r="GS46" i="17"/>
  <c r="GT46" i="17"/>
  <c r="GU46" i="17"/>
  <c r="GV46" i="17"/>
  <c r="GW46" i="17"/>
  <c r="GX46" i="17"/>
  <c r="GY46" i="17"/>
  <c r="GZ46" i="17"/>
  <c r="HA46" i="17"/>
  <c r="HB46" i="17"/>
  <c r="HC46" i="17"/>
  <c r="HD46" i="17"/>
  <c r="HE46" i="17"/>
  <c r="HF46" i="17"/>
  <c r="HG46" i="17"/>
  <c r="HH46" i="17"/>
  <c r="HI46" i="17"/>
  <c r="HJ46" i="17"/>
  <c r="HK46" i="17"/>
  <c r="HL46" i="17"/>
  <c r="HM46" i="17"/>
  <c r="HN46" i="17"/>
  <c r="HO46" i="17"/>
  <c r="HP46" i="17"/>
  <c r="HQ46" i="17"/>
  <c r="HR46" i="17"/>
  <c r="HS46" i="17"/>
  <c r="HT46" i="17"/>
  <c r="HU46" i="17"/>
  <c r="HV46" i="17"/>
  <c r="HW46" i="17"/>
  <c r="HX46" i="17"/>
  <c r="HY46" i="17"/>
  <c r="HZ46" i="17"/>
  <c r="IA46" i="17"/>
  <c r="IB46" i="17"/>
  <c r="IC46" i="17"/>
  <c r="ID46" i="17"/>
  <c r="IE46" i="17"/>
  <c r="IF46" i="17"/>
  <c r="IG46" i="17"/>
  <c r="IH46" i="17"/>
  <c r="II46" i="17"/>
  <c r="IJ46" i="17"/>
  <c r="IK46" i="17"/>
  <c r="IL46" i="17"/>
  <c r="IM46" i="17"/>
  <c r="IN46" i="17"/>
  <c r="IO46" i="17"/>
  <c r="IP46" i="17"/>
  <c r="IQ46" i="17"/>
  <c r="IR46" i="17"/>
  <c r="IS46" i="17"/>
  <c r="IT46" i="17"/>
  <c r="IU46" i="17"/>
  <c r="IV46" i="17"/>
  <c r="A47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AS47" i="17"/>
  <c r="AT47" i="17"/>
  <c r="AU47" i="17"/>
  <c r="AV47" i="17"/>
  <c r="AW47" i="17"/>
  <c r="AX47" i="17"/>
  <c r="AY47" i="17"/>
  <c r="AZ47" i="17"/>
  <c r="BA47" i="17"/>
  <c r="BB47" i="17"/>
  <c r="BC47" i="17"/>
  <c r="BD47" i="17"/>
  <c r="BE47" i="17"/>
  <c r="BF47" i="17"/>
  <c r="BG47" i="17"/>
  <c r="BH47" i="17"/>
  <c r="BI47" i="17"/>
  <c r="BJ47" i="17"/>
  <c r="BK47" i="17"/>
  <c r="BL47" i="17"/>
  <c r="BM47" i="17"/>
  <c r="BN47" i="17"/>
  <c r="BO47" i="17"/>
  <c r="BP47" i="17"/>
  <c r="BQ47" i="17"/>
  <c r="BR47" i="17"/>
  <c r="BS47" i="17"/>
  <c r="BT47" i="17"/>
  <c r="BU47" i="17"/>
  <c r="BV47" i="17"/>
  <c r="BW47" i="17"/>
  <c r="BX47" i="17"/>
  <c r="BY47" i="17"/>
  <c r="BZ47" i="17"/>
  <c r="CA47" i="17"/>
  <c r="CB47" i="17"/>
  <c r="CC47" i="17"/>
  <c r="CD47" i="17"/>
  <c r="CE47" i="17"/>
  <c r="CF47" i="17"/>
  <c r="CG47" i="17"/>
  <c r="CH47" i="17"/>
  <c r="CI47" i="17"/>
  <c r="CJ47" i="17"/>
  <c r="CK47" i="17"/>
  <c r="CL47" i="17"/>
  <c r="CM47" i="17"/>
  <c r="CN47" i="17"/>
  <c r="CO47" i="17"/>
  <c r="CP47" i="17"/>
  <c r="CQ47" i="17"/>
  <c r="CR47" i="17"/>
  <c r="CS47" i="17"/>
  <c r="CT47" i="17"/>
  <c r="CU47" i="17"/>
  <c r="CV47" i="17"/>
  <c r="CW47" i="17"/>
  <c r="CX47" i="17"/>
  <c r="CY47" i="17"/>
  <c r="CZ47" i="17"/>
  <c r="DA47" i="17"/>
  <c r="DB47" i="17"/>
  <c r="DC47" i="17"/>
  <c r="DD47" i="17"/>
  <c r="DE47" i="17"/>
  <c r="DF47" i="17"/>
  <c r="DG47" i="17"/>
  <c r="DH47" i="17"/>
  <c r="DI47" i="17"/>
  <c r="DJ47" i="17"/>
  <c r="DK47" i="17"/>
  <c r="DL47" i="17"/>
  <c r="DM47" i="17"/>
  <c r="DN47" i="17"/>
  <c r="DO47" i="17"/>
  <c r="DP47" i="17"/>
  <c r="DQ47" i="17"/>
  <c r="DR47" i="17"/>
  <c r="DS47" i="17"/>
  <c r="DT47" i="17"/>
  <c r="DU47" i="17"/>
  <c r="DV47" i="17"/>
  <c r="DW47" i="17"/>
  <c r="DX47" i="17"/>
  <c r="DY47" i="17"/>
  <c r="DZ47" i="17"/>
  <c r="EA47" i="17"/>
  <c r="EB47" i="17"/>
  <c r="EC47" i="17"/>
  <c r="ED47" i="17"/>
  <c r="EE47" i="17"/>
  <c r="EF47" i="17"/>
  <c r="EG47" i="17"/>
  <c r="EH47" i="17"/>
  <c r="EI47" i="17"/>
  <c r="EJ47" i="17"/>
  <c r="EK47" i="17"/>
  <c r="EL47" i="17"/>
  <c r="EM47" i="17"/>
  <c r="EN47" i="17"/>
  <c r="EO47" i="17"/>
  <c r="EP47" i="17"/>
  <c r="EQ47" i="17"/>
  <c r="ER47" i="17"/>
  <c r="ES47" i="17"/>
  <c r="ET47" i="17"/>
  <c r="EU47" i="17"/>
  <c r="EV47" i="17"/>
  <c r="EW47" i="17"/>
  <c r="EX47" i="17"/>
  <c r="EY47" i="17"/>
  <c r="EZ47" i="17"/>
  <c r="FA47" i="17"/>
  <c r="FB47" i="17"/>
  <c r="FC47" i="17"/>
  <c r="FD47" i="17"/>
  <c r="FE47" i="17"/>
  <c r="FF47" i="17"/>
  <c r="FG47" i="17"/>
  <c r="FH47" i="17"/>
  <c r="FI47" i="17"/>
  <c r="FJ47" i="17"/>
  <c r="FK47" i="17"/>
  <c r="FL47" i="17"/>
  <c r="FM47" i="17"/>
  <c r="FN47" i="17"/>
  <c r="FO47" i="17"/>
  <c r="FP47" i="17"/>
  <c r="FQ47" i="17"/>
  <c r="FR47" i="17"/>
  <c r="FS47" i="17"/>
  <c r="FT47" i="17"/>
  <c r="FU47" i="17"/>
  <c r="FV47" i="17"/>
  <c r="FW47" i="17"/>
  <c r="FX47" i="17"/>
  <c r="FY47" i="17"/>
  <c r="FZ47" i="17"/>
  <c r="GA47" i="17"/>
  <c r="GB47" i="17"/>
  <c r="GC47" i="17"/>
  <c r="GD47" i="17"/>
  <c r="GE47" i="17"/>
  <c r="GF47" i="17"/>
  <c r="GG47" i="17"/>
  <c r="GH47" i="17"/>
  <c r="GI47" i="17"/>
  <c r="GJ47" i="17"/>
  <c r="GK47" i="17"/>
  <c r="GL47" i="17"/>
  <c r="GM47" i="17"/>
  <c r="GN47" i="17"/>
  <c r="GO47" i="17"/>
  <c r="GP47" i="17"/>
  <c r="GQ47" i="17"/>
  <c r="GR47" i="17"/>
  <c r="GS47" i="17"/>
  <c r="GT47" i="17"/>
  <c r="GU47" i="17"/>
  <c r="GV47" i="17"/>
  <c r="GW47" i="17"/>
  <c r="GX47" i="17"/>
  <c r="GY47" i="17"/>
  <c r="GZ47" i="17"/>
  <c r="HA47" i="17"/>
  <c r="HB47" i="17"/>
  <c r="HC47" i="17"/>
  <c r="HD47" i="17"/>
  <c r="HE47" i="17"/>
  <c r="HF47" i="17"/>
  <c r="HG47" i="17"/>
  <c r="HH47" i="17"/>
  <c r="HI47" i="17"/>
  <c r="HJ47" i="17"/>
  <c r="HK47" i="17"/>
  <c r="HL47" i="17"/>
  <c r="HM47" i="17"/>
  <c r="HN47" i="17"/>
  <c r="HO47" i="17"/>
  <c r="HP47" i="17"/>
  <c r="HQ47" i="17"/>
  <c r="HR47" i="17"/>
  <c r="HS47" i="17"/>
  <c r="HT47" i="17"/>
  <c r="HU47" i="17"/>
  <c r="HV47" i="17"/>
  <c r="HW47" i="17"/>
  <c r="HX47" i="17"/>
  <c r="HY47" i="17"/>
  <c r="HZ47" i="17"/>
  <c r="IA47" i="17"/>
  <c r="IB47" i="17"/>
  <c r="IC47" i="17"/>
  <c r="ID47" i="17"/>
  <c r="IE47" i="17"/>
  <c r="IF47" i="17"/>
  <c r="IG47" i="17"/>
  <c r="IH47" i="17"/>
  <c r="II47" i="17"/>
  <c r="IJ47" i="17"/>
  <c r="IK47" i="17"/>
  <c r="IL47" i="17"/>
  <c r="IM47" i="17"/>
  <c r="IN47" i="17"/>
  <c r="IO47" i="17"/>
  <c r="IP47" i="17"/>
  <c r="IQ47" i="17"/>
  <c r="IR47" i="17"/>
  <c r="IS47" i="17"/>
  <c r="IT47" i="17"/>
  <c r="IU47" i="17"/>
  <c r="IV47" i="17"/>
  <c r="A48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AS48" i="17"/>
  <c r="AT48" i="17"/>
  <c r="AU48" i="17"/>
  <c r="AV48" i="17"/>
  <c r="AW48" i="17"/>
  <c r="AX48" i="17"/>
  <c r="AY48" i="17"/>
  <c r="AZ48" i="17"/>
  <c r="BA48" i="17"/>
  <c r="BB48" i="17"/>
  <c r="BC48" i="17"/>
  <c r="BD48" i="17"/>
  <c r="BE48" i="17"/>
  <c r="BF48" i="17"/>
  <c r="BG48" i="17"/>
  <c r="BH48" i="17"/>
  <c r="BI48" i="17"/>
  <c r="BJ48" i="17"/>
  <c r="BK48" i="17"/>
  <c r="BL48" i="17"/>
  <c r="BM48" i="17"/>
  <c r="BN48" i="17"/>
  <c r="BO48" i="17"/>
  <c r="BP48" i="17"/>
  <c r="BQ48" i="17"/>
  <c r="BR48" i="17"/>
  <c r="BS48" i="17"/>
  <c r="BT48" i="17"/>
  <c r="BU48" i="17"/>
  <c r="BV48" i="17"/>
  <c r="BW48" i="17"/>
  <c r="BX48" i="17"/>
  <c r="BY48" i="17"/>
  <c r="BZ48" i="17"/>
  <c r="CA48" i="17"/>
  <c r="CB48" i="17"/>
  <c r="CC48" i="17"/>
  <c r="CD48" i="17"/>
  <c r="CE48" i="17"/>
  <c r="CF48" i="17"/>
  <c r="CG48" i="17"/>
  <c r="CH48" i="17"/>
  <c r="CI48" i="17"/>
  <c r="CJ48" i="17"/>
  <c r="CK48" i="17"/>
  <c r="CL48" i="17"/>
  <c r="CM48" i="17"/>
  <c r="CN48" i="17"/>
  <c r="CO48" i="17"/>
  <c r="CP48" i="17"/>
  <c r="CQ48" i="17"/>
  <c r="CR48" i="17"/>
  <c r="CS48" i="17"/>
  <c r="CT48" i="17"/>
  <c r="CU48" i="17"/>
  <c r="CV48" i="17"/>
  <c r="CW48" i="17"/>
  <c r="CX48" i="17"/>
  <c r="CY48" i="17"/>
  <c r="CZ48" i="17"/>
  <c r="DA48" i="17"/>
  <c r="DB48" i="17"/>
  <c r="DC48" i="17"/>
  <c r="DD48" i="17"/>
  <c r="DE48" i="17"/>
  <c r="DF48" i="17"/>
  <c r="DG48" i="17"/>
  <c r="DH48" i="17"/>
  <c r="DI48" i="17"/>
  <c r="DJ48" i="17"/>
  <c r="DK48" i="17"/>
  <c r="DL48" i="17"/>
  <c r="DM48" i="17"/>
  <c r="DN48" i="17"/>
  <c r="DO48" i="17"/>
  <c r="DP48" i="17"/>
  <c r="DQ48" i="17"/>
  <c r="DR48" i="17"/>
  <c r="DS48" i="17"/>
  <c r="DT48" i="17"/>
  <c r="DU48" i="17"/>
  <c r="DV48" i="17"/>
  <c r="DW48" i="17"/>
  <c r="DX48" i="17"/>
  <c r="DY48" i="17"/>
  <c r="DZ48" i="17"/>
  <c r="EA48" i="17"/>
  <c r="EB48" i="17"/>
  <c r="EC48" i="17"/>
  <c r="ED48" i="17"/>
  <c r="EE48" i="17"/>
  <c r="EF48" i="17"/>
  <c r="EG48" i="17"/>
  <c r="EH48" i="17"/>
  <c r="EI48" i="17"/>
  <c r="EJ48" i="17"/>
  <c r="EK48" i="17"/>
  <c r="EL48" i="17"/>
  <c r="EM48" i="17"/>
  <c r="EN48" i="17"/>
  <c r="EO48" i="17"/>
  <c r="EP48" i="17"/>
  <c r="EQ48" i="17"/>
  <c r="ER48" i="17"/>
  <c r="ES48" i="17"/>
  <c r="ET48" i="17"/>
  <c r="EU48" i="17"/>
  <c r="EV48" i="17"/>
  <c r="EW48" i="17"/>
  <c r="EX48" i="17"/>
  <c r="EY48" i="17"/>
  <c r="EZ48" i="17"/>
  <c r="FA48" i="17"/>
  <c r="FB48" i="17"/>
  <c r="FC48" i="17"/>
  <c r="FD48" i="17"/>
  <c r="FE48" i="17"/>
  <c r="FF48" i="17"/>
  <c r="FG48" i="17"/>
  <c r="FH48" i="17"/>
  <c r="FI48" i="17"/>
  <c r="FJ48" i="17"/>
  <c r="FK48" i="17"/>
  <c r="FL48" i="17"/>
  <c r="FM48" i="17"/>
  <c r="FN48" i="17"/>
  <c r="FO48" i="17"/>
  <c r="FP48" i="17"/>
  <c r="FQ48" i="17"/>
  <c r="FR48" i="17"/>
  <c r="FS48" i="17"/>
  <c r="FT48" i="17"/>
  <c r="FU48" i="17"/>
  <c r="FV48" i="17"/>
  <c r="FW48" i="17"/>
  <c r="FX48" i="17"/>
  <c r="FY48" i="17"/>
  <c r="FZ48" i="17"/>
  <c r="GA48" i="17"/>
  <c r="GB48" i="17"/>
  <c r="GC48" i="17"/>
  <c r="GD48" i="17"/>
  <c r="GE48" i="17"/>
  <c r="GF48" i="17"/>
  <c r="GG48" i="17"/>
  <c r="GH48" i="17"/>
  <c r="GI48" i="17"/>
  <c r="GJ48" i="17"/>
  <c r="GK48" i="17"/>
  <c r="GL48" i="17"/>
  <c r="GM48" i="17"/>
  <c r="GN48" i="17"/>
  <c r="GO48" i="17"/>
  <c r="GP48" i="17"/>
  <c r="GQ48" i="17"/>
  <c r="GR48" i="17"/>
  <c r="GS48" i="17"/>
  <c r="GT48" i="17"/>
  <c r="GU48" i="17"/>
  <c r="GV48" i="17"/>
  <c r="GW48" i="17"/>
  <c r="GX48" i="17"/>
  <c r="GY48" i="17"/>
  <c r="GZ48" i="17"/>
  <c r="HA48" i="17"/>
  <c r="HB48" i="17"/>
  <c r="HC48" i="17"/>
  <c r="HD48" i="17"/>
  <c r="HE48" i="17"/>
  <c r="HF48" i="17"/>
  <c r="HG48" i="17"/>
  <c r="HH48" i="17"/>
  <c r="HI48" i="17"/>
  <c r="HJ48" i="17"/>
  <c r="HK48" i="17"/>
  <c r="HL48" i="17"/>
  <c r="HM48" i="17"/>
  <c r="HN48" i="17"/>
  <c r="HO48" i="17"/>
  <c r="HP48" i="17"/>
  <c r="HQ48" i="17"/>
  <c r="HR48" i="17"/>
  <c r="HS48" i="17"/>
  <c r="HT48" i="17"/>
  <c r="HU48" i="17"/>
  <c r="HV48" i="17"/>
  <c r="HW48" i="17"/>
  <c r="HX48" i="17"/>
  <c r="HY48" i="17"/>
  <c r="HZ48" i="17"/>
  <c r="IA48" i="17"/>
  <c r="IB48" i="17"/>
  <c r="IC48" i="17"/>
  <c r="ID48" i="17"/>
  <c r="IE48" i="17"/>
  <c r="IF48" i="17"/>
  <c r="IG48" i="17"/>
  <c r="IH48" i="17"/>
  <c r="II48" i="17"/>
  <c r="IJ48" i="17"/>
  <c r="IK48" i="17"/>
  <c r="IL48" i="17"/>
  <c r="IM48" i="17"/>
  <c r="IN48" i="17"/>
  <c r="IO48" i="17"/>
  <c r="IP48" i="17"/>
  <c r="IQ48" i="17"/>
  <c r="IR48" i="17"/>
  <c r="IS48" i="17"/>
  <c r="IT48" i="17"/>
  <c r="IU48" i="17"/>
  <c r="IV48" i="17"/>
  <c r="A49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W49" i="17"/>
  <c r="AX49" i="17"/>
  <c r="AY49" i="17"/>
  <c r="AZ49" i="17"/>
  <c r="BA49" i="17"/>
  <c r="BB49" i="17"/>
  <c r="BC49" i="17"/>
  <c r="BD49" i="17"/>
  <c r="BE49" i="17"/>
  <c r="BF49" i="17"/>
  <c r="BG49" i="17"/>
  <c r="BH49" i="17"/>
  <c r="BI49" i="17"/>
  <c r="BJ49" i="17"/>
  <c r="BK49" i="17"/>
  <c r="BL49" i="17"/>
  <c r="BM49" i="17"/>
  <c r="BN49" i="17"/>
  <c r="BO49" i="17"/>
  <c r="BP49" i="17"/>
  <c r="BQ49" i="17"/>
  <c r="BR49" i="17"/>
  <c r="BS49" i="17"/>
  <c r="BT49" i="17"/>
  <c r="BU49" i="17"/>
  <c r="BV49" i="17"/>
  <c r="BW49" i="17"/>
  <c r="BX49" i="17"/>
  <c r="BY49" i="17"/>
  <c r="BZ49" i="17"/>
  <c r="CA49" i="17"/>
  <c r="CB49" i="17"/>
  <c r="CC49" i="17"/>
  <c r="CD49" i="17"/>
  <c r="CE49" i="17"/>
  <c r="CF49" i="17"/>
  <c r="CG49" i="17"/>
  <c r="CH49" i="17"/>
  <c r="CI49" i="17"/>
  <c r="CJ49" i="17"/>
  <c r="CK49" i="17"/>
  <c r="CL49" i="17"/>
  <c r="CM49" i="17"/>
  <c r="CN49" i="17"/>
  <c r="CO49" i="17"/>
  <c r="CP49" i="17"/>
  <c r="CQ49" i="17"/>
  <c r="CR49" i="17"/>
  <c r="CS49" i="17"/>
  <c r="CT49" i="17"/>
  <c r="CU49" i="17"/>
  <c r="CV49" i="17"/>
  <c r="CW49" i="17"/>
  <c r="CX49" i="17"/>
  <c r="CY49" i="17"/>
  <c r="CZ49" i="17"/>
  <c r="DA49" i="17"/>
  <c r="DB49" i="17"/>
  <c r="DC49" i="17"/>
  <c r="DD49" i="17"/>
  <c r="DE49" i="17"/>
  <c r="DF49" i="17"/>
  <c r="DG49" i="17"/>
  <c r="DH49" i="17"/>
  <c r="DI49" i="17"/>
  <c r="DJ49" i="17"/>
  <c r="DK49" i="17"/>
  <c r="DL49" i="17"/>
  <c r="DM49" i="17"/>
  <c r="DN49" i="17"/>
  <c r="DO49" i="17"/>
  <c r="DP49" i="17"/>
  <c r="DQ49" i="17"/>
  <c r="DR49" i="17"/>
  <c r="DS49" i="17"/>
  <c r="DT49" i="17"/>
  <c r="DU49" i="17"/>
  <c r="DV49" i="17"/>
  <c r="DW49" i="17"/>
  <c r="DX49" i="17"/>
  <c r="DY49" i="17"/>
  <c r="DZ49" i="17"/>
  <c r="EA49" i="17"/>
  <c r="EB49" i="17"/>
  <c r="EC49" i="17"/>
  <c r="ED49" i="17"/>
  <c r="EE49" i="17"/>
  <c r="EF49" i="17"/>
  <c r="EG49" i="17"/>
  <c r="EH49" i="17"/>
  <c r="EI49" i="17"/>
  <c r="EJ49" i="17"/>
  <c r="EK49" i="17"/>
  <c r="EL49" i="17"/>
  <c r="EM49" i="17"/>
  <c r="EN49" i="17"/>
  <c r="EO49" i="17"/>
  <c r="EP49" i="17"/>
  <c r="EQ49" i="17"/>
  <c r="ER49" i="17"/>
  <c r="ES49" i="17"/>
  <c r="ET49" i="17"/>
  <c r="EU49" i="17"/>
  <c r="EV49" i="17"/>
  <c r="EW49" i="17"/>
  <c r="EX49" i="17"/>
  <c r="EY49" i="17"/>
  <c r="EZ49" i="17"/>
  <c r="FA49" i="17"/>
  <c r="FB49" i="17"/>
  <c r="FC49" i="17"/>
  <c r="FD49" i="17"/>
  <c r="FE49" i="17"/>
  <c r="FF49" i="17"/>
  <c r="FG49" i="17"/>
  <c r="FH49" i="17"/>
  <c r="FI49" i="17"/>
  <c r="FJ49" i="17"/>
  <c r="FK49" i="17"/>
  <c r="FL49" i="17"/>
  <c r="FM49" i="17"/>
  <c r="FN49" i="17"/>
  <c r="FO49" i="17"/>
  <c r="FP49" i="17"/>
  <c r="FQ49" i="17"/>
  <c r="FR49" i="17"/>
  <c r="FS49" i="17"/>
  <c r="FT49" i="17"/>
  <c r="FU49" i="17"/>
  <c r="FV49" i="17"/>
  <c r="FW49" i="17"/>
  <c r="FX49" i="17"/>
  <c r="FY49" i="17"/>
  <c r="FZ49" i="17"/>
  <c r="GA49" i="17"/>
  <c r="GB49" i="17"/>
  <c r="GC49" i="17"/>
  <c r="GD49" i="17"/>
  <c r="GE49" i="17"/>
  <c r="GF49" i="17"/>
  <c r="GG49" i="17"/>
  <c r="GH49" i="17"/>
  <c r="GI49" i="17"/>
  <c r="GJ49" i="17"/>
  <c r="GK49" i="17"/>
  <c r="GL49" i="17"/>
  <c r="GM49" i="17"/>
  <c r="GN49" i="17"/>
  <c r="GO49" i="17"/>
  <c r="GP49" i="17"/>
  <c r="GQ49" i="17"/>
  <c r="GR49" i="17"/>
  <c r="GS49" i="17"/>
  <c r="GT49" i="17"/>
  <c r="GU49" i="17"/>
  <c r="GV49" i="17"/>
  <c r="GW49" i="17"/>
  <c r="GX49" i="17"/>
  <c r="GY49" i="17"/>
  <c r="GZ49" i="17"/>
  <c r="HA49" i="17"/>
  <c r="HB49" i="17"/>
  <c r="HC49" i="17"/>
  <c r="HD49" i="17"/>
  <c r="HE49" i="17"/>
  <c r="HF49" i="17"/>
  <c r="HG49" i="17"/>
  <c r="HH49" i="17"/>
  <c r="HI49" i="17"/>
  <c r="HJ49" i="17"/>
  <c r="HK49" i="17"/>
  <c r="HL49" i="17"/>
  <c r="HM49" i="17"/>
  <c r="HN49" i="17"/>
  <c r="HO49" i="17"/>
  <c r="HP49" i="17"/>
  <c r="HQ49" i="17"/>
  <c r="HR49" i="17"/>
  <c r="HS49" i="17"/>
  <c r="HT49" i="17"/>
  <c r="HU49" i="17"/>
  <c r="HV49" i="17"/>
  <c r="HW49" i="17"/>
  <c r="HX49" i="17"/>
  <c r="HY49" i="17"/>
  <c r="HZ49" i="17"/>
  <c r="IA49" i="17"/>
  <c r="IB49" i="17"/>
  <c r="IC49" i="17"/>
  <c r="ID49" i="17"/>
  <c r="IE49" i="17"/>
  <c r="IF49" i="17"/>
  <c r="IG49" i="17"/>
  <c r="IH49" i="17"/>
  <c r="II49" i="17"/>
  <c r="IJ49" i="17"/>
  <c r="IK49" i="17"/>
  <c r="IL49" i="17"/>
  <c r="IM49" i="17"/>
  <c r="IN49" i="17"/>
  <c r="IO49" i="17"/>
  <c r="IP49" i="17"/>
  <c r="IQ49" i="17"/>
  <c r="IR49" i="17"/>
  <c r="IS49" i="17"/>
  <c r="IT49" i="17"/>
  <c r="IU49" i="17"/>
  <c r="IV49" i="17"/>
  <c r="A50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AS50" i="17"/>
  <c r="AT50" i="17"/>
  <c r="AU50" i="17"/>
  <c r="AV50" i="17"/>
  <c r="AW50" i="17"/>
  <c r="AX50" i="17"/>
  <c r="AY50" i="17"/>
  <c r="AZ50" i="17"/>
  <c r="BA50" i="17"/>
  <c r="BB50" i="17"/>
  <c r="BC50" i="17"/>
  <c r="BD50" i="17"/>
  <c r="BE50" i="17"/>
  <c r="BF50" i="17"/>
  <c r="BG50" i="17"/>
  <c r="BH50" i="17"/>
  <c r="BI50" i="17"/>
  <c r="BJ50" i="17"/>
  <c r="BK50" i="17"/>
  <c r="BL50" i="17"/>
  <c r="BM50" i="17"/>
  <c r="BN50" i="17"/>
  <c r="BO50" i="17"/>
  <c r="BP50" i="17"/>
  <c r="BQ50" i="17"/>
  <c r="BR50" i="17"/>
  <c r="BS50" i="17"/>
  <c r="BT50" i="17"/>
  <c r="BU50" i="17"/>
  <c r="BV50" i="17"/>
  <c r="BW50" i="17"/>
  <c r="BX50" i="17"/>
  <c r="BY50" i="17"/>
  <c r="BZ50" i="17"/>
  <c r="CA50" i="17"/>
  <c r="CB50" i="17"/>
  <c r="CC50" i="17"/>
  <c r="CD50" i="17"/>
  <c r="CE50" i="17"/>
  <c r="CF50" i="17"/>
  <c r="CG50" i="17"/>
  <c r="CH50" i="17"/>
  <c r="CI50" i="17"/>
  <c r="CJ50" i="17"/>
  <c r="CK50" i="17"/>
  <c r="CL50" i="17"/>
  <c r="CM50" i="17"/>
  <c r="CN50" i="17"/>
  <c r="CO50" i="17"/>
  <c r="CP50" i="17"/>
  <c r="CQ50" i="17"/>
  <c r="CR50" i="17"/>
  <c r="CS50" i="17"/>
  <c r="CT50" i="17"/>
  <c r="CU50" i="17"/>
  <c r="CV50" i="17"/>
  <c r="CW50" i="17"/>
  <c r="CX50" i="17"/>
  <c r="CY50" i="17"/>
  <c r="CZ50" i="17"/>
  <c r="DA50" i="17"/>
  <c r="DB50" i="17"/>
  <c r="DC50" i="17"/>
  <c r="DD50" i="17"/>
  <c r="DE50" i="17"/>
  <c r="DF50" i="17"/>
  <c r="DG50" i="17"/>
  <c r="DH50" i="17"/>
  <c r="DI50" i="17"/>
  <c r="DJ50" i="17"/>
  <c r="DK50" i="17"/>
  <c r="DL50" i="17"/>
  <c r="DM50" i="17"/>
  <c r="DN50" i="17"/>
  <c r="DO50" i="17"/>
  <c r="DP50" i="17"/>
  <c r="DQ50" i="17"/>
  <c r="DR50" i="17"/>
  <c r="DS50" i="17"/>
  <c r="DT50" i="17"/>
  <c r="DU50" i="17"/>
  <c r="DV50" i="17"/>
  <c r="DW50" i="17"/>
  <c r="DX50" i="17"/>
  <c r="DY50" i="17"/>
  <c r="DZ50" i="17"/>
  <c r="EA50" i="17"/>
  <c r="EB50" i="17"/>
  <c r="EC50" i="17"/>
  <c r="ED50" i="17"/>
  <c r="K7" i="17"/>
  <c r="D5" i="14"/>
  <c r="G6" i="14"/>
  <c r="K10" i="1" s="1"/>
  <c r="D7" i="14"/>
  <c r="DK7" i="17" s="1"/>
  <c r="G7" i="14"/>
  <c r="K11" i="1" s="1"/>
  <c r="L11" i="1"/>
  <c r="D8" i="14"/>
  <c r="G8" i="14"/>
  <c r="L12" i="1"/>
  <c r="D9" i="14"/>
  <c r="J13" i="1" s="1"/>
  <c r="G9" i="14"/>
  <c r="K13" i="1" s="1"/>
  <c r="L13" i="1"/>
  <c r="D10" i="14"/>
  <c r="J14" i="1" s="1"/>
  <c r="G10" i="14"/>
  <c r="K14" i="1" s="1"/>
  <c r="L14" i="1"/>
  <c r="D11" i="14"/>
  <c r="J15" i="1" s="1"/>
  <c r="G11" i="14"/>
  <c r="K15" i="1" s="1"/>
  <c r="L15" i="1"/>
  <c r="D12" i="14"/>
  <c r="J16" i="1" s="1"/>
  <c r="G12" i="14"/>
  <c r="K16" i="1" s="1"/>
  <c r="L16" i="1"/>
  <c r="D13" i="14"/>
  <c r="J17" i="1" s="1"/>
  <c r="G13" i="14"/>
  <c r="K17" i="1" s="1"/>
  <c r="L17" i="1"/>
  <c r="D14" i="14"/>
  <c r="J18" i="1" s="1"/>
  <c r="G14" i="14"/>
  <c r="K18" i="1" s="1"/>
  <c r="L18" i="1"/>
  <c r="D15" i="14"/>
  <c r="J19" i="1" s="1"/>
  <c r="G15" i="14"/>
  <c r="K19" i="1" s="1"/>
  <c r="L19" i="1"/>
  <c r="D16" i="14"/>
  <c r="J20" i="1" s="1"/>
  <c r="G16" i="14"/>
  <c r="K20" i="1" s="1"/>
  <c r="L20" i="1"/>
  <c r="D17" i="14"/>
  <c r="J21" i="1" s="1"/>
  <c r="G17" i="14"/>
  <c r="K21" i="1" s="1"/>
  <c r="L21" i="1"/>
  <c r="D18" i="14"/>
  <c r="J22" i="1" s="1"/>
  <c r="G18" i="14"/>
  <c r="K22" i="1" s="1"/>
  <c r="L22" i="1"/>
  <c r="D19" i="14"/>
  <c r="J23" i="1" s="1"/>
  <c r="G19" i="14"/>
  <c r="K23" i="1" s="1"/>
  <c r="L23" i="1"/>
  <c r="D20" i="14"/>
  <c r="J24" i="1" s="1"/>
  <c r="G20" i="14"/>
  <c r="K24" i="1" s="1"/>
  <c r="L24" i="1"/>
  <c r="D21" i="14"/>
  <c r="J25" i="1" s="1"/>
  <c r="G21" i="14"/>
  <c r="K25" i="1" s="1"/>
  <c r="L25" i="1"/>
  <c r="D22" i="14"/>
  <c r="J26" i="1" s="1"/>
  <c r="G22" i="14"/>
  <c r="K26" i="1" s="1"/>
  <c r="L26" i="1"/>
  <c r="EX22" i="17"/>
  <c r="ES26" i="17"/>
  <c r="FA26" i="17"/>
  <c r="FI26" i="17"/>
  <c r="FN26" i="17"/>
  <c r="FJ26" i="17"/>
  <c r="FO26" i="17"/>
  <c r="EW22" i="17"/>
  <c r="J20" i="5" l="1"/>
  <c r="J16" i="5"/>
  <c r="J12" i="5"/>
  <c r="J8" i="5"/>
  <c r="J4" i="5"/>
  <c r="J22" i="5"/>
  <c r="J19" i="5"/>
  <c r="J15" i="5"/>
  <c r="J11" i="5"/>
  <c r="J7" i="5"/>
  <c r="J18" i="5"/>
  <c r="J14" i="5"/>
  <c r="J10" i="5"/>
  <c r="J6" i="5"/>
  <c r="J21" i="5"/>
  <c r="J17" i="5"/>
  <c r="J13" i="5"/>
  <c r="J9" i="5"/>
  <c r="J5" i="5"/>
  <c r="J23" i="5"/>
  <c r="DN7" i="17"/>
  <c r="DQ7" i="17"/>
  <c r="M16" i="1"/>
  <c r="M14" i="1"/>
  <c r="M19" i="1"/>
  <c r="J11" i="1"/>
  <c r="M11" i="1" s="1"/>
  <c r="K12" i="1"/>
  <c r="M21" i="1"/>
  <c r="M18" i="1"/>
  <c r="M26" i="1"/>
  <c r="M22" i="1"/>
  <c r="M23" i="1"/>
  <c r="M20" i="1"/>
  <c r="M15" i="1"/>
  <c r="M24" i="1"/>
  <c r="M13" i="1"/>
  <c r="J12" i="1"/>
  <c r="M27" i="1"/>
  <c r="L9" i="1"/>
  <c r="J9" i="1"/>
  <c r="H5" i="17"/>
  <c r="I4" i="17"/>
  <c r="J29" i="14"/>
  <c r="G9" i="1"/>
  <c r="D6" i="14"/>
  <c r="D29" i="14" s="1"/>
  <c r="L10" i="1"/>
  <c r="G33" i="17"/>
  <c r="E9" i="1"/>
  <c r="B28" i="17"/>
  <c r="D28" i="17"/>
  <c r="C28" i="17"/>
  <c r="K6" i="17"/>
  <c r="A28" i="17"/>
  <c r="M17" i="1" l="1"/>
  <c r="M12" i="1"/>
  <c r="M25" i="1"/>
  <c r="M9" i="1"/>
  <c r="J10" i="1"/>
  <c r="M10" i="1" s="1"/>
  <c r="IV27" i="17"/>
  <c r="IT27" i="17"/>
  <c r="K2" i="17"/>
  <c r="I29" i="14"/>
  <c r="L33" i="1" l="1"/>
  <c r="J33" i="1" l="1"/>
  <c r="E38" i="1"/>
  <c r="F38" i="1" s="1"/>
  <c r="E36" i="1"/>
  <c r="F36" i="1" s="1"/>
  <c r="G36" i="1" s="1"/>
  <c r="G38" i="1" l="1"/>
  <c r="H38" i="1" s="1"/>
  <c r="I38" i="1" s="1"/>
  <c r="J38" i="1" s="1"/>
  <c r="H36" i="1"/>
  <c r="I36" i="1" s="1"/>
  <c r="K38" i="1" l="1"/>
  <c r="J36" i="1"/>
  <c r="K36" i="1" s="1"/>
  <c r="F29" i="14" l="1"/>
  <c r="G29" i="14" l="1"/>
  <c r="M32" i="1" s="1"/>
  <c r="P32" i="1" l="1"/>
  <c r="Q32" i="1" s="1"/>
  <c r="R32" i="1" s="1"/>
  <c r="E37" i="1"/>
  <c r="K33" i="1"/>
  <c r="F37" i="1" l="1"/>
  <c r="G37" i="1" s="1"/>
  <c r="H37" i="1" s="1"/>
  <c r="I37" i="1" s="1"/>
  <c r="J37" i="1" s="1"/>
  <c r="K37" i="1" s="1"/>
  <c r="G4" i="4" l="1"/>
  <c r="G22" i="4"/>
  <c r="B27" i="1" s="1"/>
  <c r="C27" i="1" s="1"/>
  <c r="G21" i="4"/>
  <c r="B26" i="1" s="1"/>
  <c r="C26" i="1" s="1"/>
  <c r="G23" i="4"/>
  <c r="B28" i="1" s="1"/>
  <c r="C28" i="1" s="1"/>
  <c r="G16" i="4"/>
  <c r="B21" i="1" s="1"/>
  <c r="C21" i="1" s="1"/>
  <c r="G12" i="4"/>
  <c r="B17" i="1" s="1"/>
  <c r="C17" i="1" s="1"/>
  <c r="G14" i="4"/>
  <c r="B19" i="1" s="1"/>
  <c r="C19" i="1" s="1"/>
  <c r="G5" i="4"/>
  <c r="B10" i="1" s="1"/>
  <c r="C10" i="1" s="1"/>
  <c r="G18" i="4"/>
  <c r="B23" i="1" s="1"/>
  <c r="C23" i="1" s="1"/>
  <c r="G25" i="4"/>
  <c r="B30" i="1" s="1"/>
  <c r="C30" i="1" s="1"/>
  <c r="P30" i="1" s="1"/>
  <c r="G15" i="4"/>
  <c r="B20" i="1" s="1"/>
  <c r="C20" i="1" s="1"/>
  <c r="G17" i="4"/>
  <c r="B22" i="1" s="1"/>
  <c r="C22" i="1" s="1"/>
  <c r="G11" i="4"/>
  <c r="B16" i="1" s="1"/>
  <c r="C16" i="1" s="1"/>
  <c r="G6" i="4"/>
  <c r="B11" i="1" s="1"/>
  <c r="C11" i="1" s="1"/>
  <c r="G24" i="4"/>
  <c r="B29" i="1" s="1"/>
  <c r="C29" i="1" s="1"/>
  <c r="G9" i="4"/>
  <c r="B14" i="1" s="1"/>
  <c r="C14" i="1" s="1"/>
  <c r="G10" i="4"/>
  <c r="B15" i="1" s="1"/>
  <c r="C15" i="1" s="1"/>
  <c r="G19" i="4"/>
  <c r="B24" i="1" s="1"/>
  <c r="C24" i="1" s="1"/>
  <c r="G13" i="4"/>
  <c r="B18" i="1" s="1"/>
  <c r="C18" i="1" s="1"/>
  <c r="G8" i="4"/>
  <c r="B13" i="1" s="1"/>
  <c r="C13" i="1" s="1"/>
  <c r="G20" i="4"/>
  <c r="B25" i="1" s="1"/>
  <c r="C25" i="1" s="1"/>
  <c r="G26" i="4"/>
  <c r="B31" i="1" s="1"/>
  <c r="C31" i="1" s="1"/>
  <c r="G7" i="4"/>
  <c r="B12" i="1" s="1"/>
  <c r="C12" i="1" s="1"/>
  <c r="B9" i="1" l="1"/>
  <c r="C9" i="1" s="1"/>
  <c r="P9" i="1" s="1"/>
  <c r="Q9" i="1" s="1"/>
  <c r="R9" i="1" s="1"/>
  <c r="P12" i="1"/>
  <c r="Q12" i="1" s="1"/>
  <c r="R12" i="1" s="1"/>
  <c r="P10" i="1"/>
  <c r="Q10" i="1" s="1"/>
  <c r="R10" i="1" s="1"/>
  <c r="P11" i="1"/>
  <c r="Q11" i="1" s="1"/>
  <c r="R11" i="1" s="1"/>
  <c r="IU27" i="17"/>
  <c r="P28" i="1"/>
  <c r="E28" i="17"/>
  <c r="EY22" i="17"/>
  <c r="P22" i="1"/>
  <c r="P24" i="1" l="1"/>
  <c r="Q24" i="1" s="1"/>
  <c r="R24" i="1" s="1"/>
  <c r="P29" i="1"/>
  <c r="Q29" i="1" s="1"/>
  <c r="R29" i="1" s="1"/>
  <c r="P16" i="1"/>
  <c r="Q16" i="1" s="1"/>
  <c r="R16" i="1" s="1"/>
  <c r="P31" i="1"/>
  <c r="Q31" i="1" s="1"/>
  <c r="R31" i="1" s="1"/>
  <c r="P26" i="1"/>
  <c r="Q26" i="1" s="1"/>
  <c r="R26" i="1" s="1"/>
  <c r="P18" i="1"/>
  <c r="Q18" i="1" s="1"/>
  <c r="R18" i="1" s="1"/>
  <c r="P15" i="1"/>
  <c r="Q15" i="1" s="1"/>
  <c r="R15" i="1" s="1"/>
  <c r="P27" i="1"/>
  <c r="Q27" i="1" s="1"/>
  <c r="R27" i="1" s="1"/>
  <c r="P19" i="1"/>
  <c r="Q19" i="1" s="1"/>
  <c r="R19" i="1" s="1"/>
  <c r="P14" i="1"/>
  <c r="Q14" i="1" s="1"/>
  <c r="R14" i="1" s="1"/>
  <c r="P23" i="1"/>
  <c r="Q23" i="1" s="1"/>
  <c r="R23" i="1" s="1"/>
  <c r="P21" i="1"/>
  <c r="Q21" i="1" s="1"/>
  <c r="R21" i="1" s="1"/>
  <c r="P25" i="1"/>
  <c r="Q25" i="1" s="1"/>
  <c r="R25" i="1" s="1"/>
  <c r="P17" i="1"/>
  <c r="Q17" i="1" s="1"/>
  <c r="R17" i="1" s="1"/>
  <c r="P20" i="1"/>
  <c r="Q20" i="1" s="1"/>
  <c r="R20" i="1" s="1"/>
  <c r="P13" i="1"/>
  <c r="Q13" i="1" s="1"/>
  <c r="R13" i="1" s="1"/>
  <c r="Q28" i="1"/>
  <c r="R28" i="1" s="1"/>
  <c r="EZ22" i="17"/>
  <c r="Q22" i="1"/>
  <c r="Q30" i="1" l="1"/>
  <c r="R30" i="1" s="1"/>
  <c r="R22" i="1"/>
  <c r="G41" i="1" l="1"/>
  <c r="H41" i="1"/>
  <c r="E41" i="1"/>
  <c r="F41" i="1" s="1"/>
  <c r="F42" i="1" l="1"/>
  <c r="G42" i="1"/>
  <c r="E42" i="1"/>
  <c r="H42" i="1" l="1"/>
</calcChain>
</file>

<file path=xl/sharedStrings.xml><?xml version="1.0" encoding="utf-8"?>
<sst xmlns="http://schemas.openxmlformats.org/spreadsheetml/2006/main" count="1124" uniqueCount="169">
  <si>
    <t>Registro de Calificaciones</t>
  </si>
  <si>
    <t>Carné</t>
  </si>
  <si>
    <t>AC</t>
  </si>
  <si>
    <t>% AC</t>
  </si>
  <si>
    <t>Quices</t>
  </si>
  <si>
    <t>% Quices</t>
  </si>
  <si>
    <t>Tareas</t>
  </si>
  <si>
    <t>% Tareas</t>
  </si>
  <si>
    <t>I Parcial</t>
  </si>
  <si>
    <t>II Parcial</t>
  </si>
  <si>
    <t>III Parcial</t>
  </si>
  <si>
    <t>% Examenes</t>
  </si>
  <si>
    <t>Nota</t>
  </si>
  <si>
    <t>Nota Final</t>
  </si>
  <si>
    <t>Condicción</t>
  </si>
  <si>
    <t>Estadísticas</t>
  </si>
  <si>
    <t>0-50</t>
  </si>
  <si>
    <t>50-60</t>
  </si>
  <si>
    <t>60-70</t>
  </si>
  <si>
    <t>70-80</t>
  </si>
  <si>
    <t>80-90</t>
  </si>
  <si>
    <t>90-100</t>
  </si>
  <si>
    <t>Total</t>
  </si>
  <si>
    <t>Parcial I</t>
  </si>
  <si>
    <t>Parcial II</t>
  </si>
  <si>
    <t>Parcial III</t>
  </si>
  <si>
    <t>Reprobados</t>
  </si>
  <si>
    <t>Ampliación</t>
  </si>
  <si>
    <t>Aprobados</t>
  </si>
  <si>
    <t>Cantidad Estudiantes</t>
  </si>
  <si>
    <t>% Estudiantes</t>
  </si>
  <si>
    <t>Criterios Generales</t>
  </si>
  <si>
    <t>Valor</t>
  </si>
  <si>
    <t>Aprendizaje Colaborativo</t>
  </si>
  <si>
    <t>I Parte</t>
  </si>
  <si>
    <t>II Parte</t>
  </si>
  <si>
    <t>III Parte</t>
  </si>
  <si>
    <t>IV Parte</t>
  </si>
  <si>
    <t>V Parte</t>
  </si>
  <si>
    <t>Promedio AC</t>
  </si>
  <si>
    <t>Aprendizaje Colaborativo - Parte 1</t>
  </si>
  <si>
    <t>Promedio Grupal</t>
  </si>
  <si>
    <t>Promedio Individual</t>
  </si>
  <si>
    <t>2. Observación del trabajo en equipo</t>
  </si>
  <si>
    <t>3. Observación de cada miembro del equipo</t>
  </si>
  <si>
    <t>E1-L</t>
  </si>
  <si>
    <t>E2-A</t>
  </si>
  <si>
    <t>Promedio</t>
  </si>
  <si>
    <t>Aprendizaje Colaborativo - Parte 2</t>
  </si>
  <si>
    <t>Aprendizaje Colaborativo - Parte 3</t>
  </si>
  <si>
    <t>Aprendizaje Colaborativo - Parte 4</t>
  </si>
  <si>
    <t>Aprendizaje Colaborativo - Parte 5</t>
  </si>
  <si>
    <t>Quiz 1</t>
  </si>
  <si>
    <t>Quiz 2</t>
  </si>
  <si>
    <t>Quiz 3</t>
  </si>
  <si>
    <t>Quiz 4</t>
  </si>
  <si>
    <t>Quiz 5</t>
  </si>
  <si>
    <t>Promedio Quices</t>
  </si>
  <si>
    <t>Tarea 1</t>
  </si>
  <si>
    <t>Tarea 2</t>
  </si>
  <si>
    <t>Tarea 3</t>
  </si>
  <si>
    <t>Tarea 4</t>
  </si>
  <si>
    <t>Tarea 5</t>
  </si>
  <si>
    <t>Promedio Tareas</t>
  </si>
  <si>
    <t>Exámenes</t>
  </si>
  <si>
    <t>Examen</t>
  </si>
  <si>
    <t>PR</t>
  </si>
  <si>
    <t>General</t>
  </si>
  <si>
    <t>Moda</t>
  </si>
  <si>
    <t>Media</t>
  </si>
  <si>
    <t>Rango</t>
  </si>
  <si>
    <t>Desv. Est.</t>
  </si>
  <si>
    <t>Varianza</t>
  </si>
  <si>
    <t>AAAAAF/66Qw=</t>
  </si>
  <si>
    <t>AAAAAF/66Q0=</t>
  </si>
  <si>
    <t>AAAAAHOfPYY=</t>
  </si>
  <si>
    <t>AAAAAHOfPYc=</t>
  </si>
  <si>
    <t>Prof. Kryscia Ramírez Benavides</t>
  </si>
  <si>
    <t>E3-S</t>
  </si>
  <si>
    <t>E4-E</t>
  </si>
  <si>
    <t>Asist. Daniel Escamilla</t>
  </si>
  <si>
    <t>Retroalimentación</t>
  </si>
  <si>
    <t>Grupo 01</t>
  </si>
  <si>
    <t>CI-0111   Estructuras Discretas</t>
  </si>
  <si>
    <t>Autoevaluación y Coevaluación</t>
  </si>
  <si>
    <t>Promedio AE y CE</t>
  </si>
  <si>
    <t>Promedio Final AC</t>
  </si>
  <si>
    <t>AE&amp;CE</t>
  </si>
  <si>
    <t>Nota Obt.</t>
  </si>
  <si>
    <t>*</t>
  </si>
  <si>
    <t>CI-2414   Recuperación de Información</t>
  </si>
  <si>
    <t>Prof. Kryscia Daviana Ramírez Benavides</t>
  </si>
  <si>
    <t>Gamificación: Creación  Juego de Mesa</t>
  </si>
  <si>
    <t>Promedio EF</t>
  </si>
  <si>
    <t>E1</t>
  </si>
  <si>
    <t>E2</t>
  </si>
  <si>
    <t>Evaluación Público</t>
  </si>
  <si>
    <t>Juego de Mesa</t>
  </si>
  <si>
    <t>% JM</t>
  </si>
  <si>
    <t>%</t>
  </si>
  <si>
    <t>5. Presentación en clase del producto final</t>
  </si>
  <si>
    <t>7. Entrega del producto final</t>
  </si>
  <si>
    <t>8. Presentación en la feria del producto final</t>
  </si>
  <si>
    <t>EDocente</t>
  </si>
  <si>
    <t>6. Seguimiento (asistencia) y plenaria</t>
  </si>
  <si>
    <t>Ciclo Lecivo I-2019</t>
  </si>
  <si>
    <t>B16649</t>
  </si>
  <si>
    <t>B43332</t>
  </si>
  <si>
    <t>B57388</t>
  </si>
  <si>
    <t>B64180</t>
  </si>
  <si>
    <t>B75584</t>
  </si>
  <si>
    <t>B75821</t>
  </si>
  <si>
    <t>B75915</t>
  </si>
  <si>
    <t>B77166</t>
  </si>
  <si>
    <t>B77284</t>
  </si>
  <si>
    <t>B80129</t>
  </si>
  <si>
    <t>B80445</t>
  </si>
  <si>
    <t>B82227</t>
  </si>
  <si>
    <t>B83493</t>
  </si>
  <si>
    <t>B83716</t>
  </si>
  <si>
    <t>B84312</t>
  </si>
  <si>
    <t>B84808</t>
  </si>
  <si>
    <t>B85066</t>
  </si>
  <si>
    <t>B85599</t>
  </si>
  <si>
    <t>B85610</t>
  </si>
  <si>
    <t>B85836</t>
  </si>
  <si>
    <t>B86080</t>
  </si>
  <si>
    <t>B86117</t>
  </si>
  <si>
    <t>B86958</t>
  </si>
  <si>
    <t>T1 - Autoevaluación y Coevaluación</t>
  </si>
  <si>
    <t>T2 - Autoevaluación y Coevaluación</t>
  </si>
  <si>
    <t>T5 - Autoevaluación y Coevaluación</t>
  </si>
  <si>
    <t>T4 - Autoevaluación y Coevaluación</t>
  </si>
  <si>
    <t>T3 - Autoevaluación y Coevaluación</t>
  </si>
  <si>
    <t>Control de Asitencia</t>
  </si>
  <si>
    <t>B03169</t>
  </si>
  <si>
    <t>Asistencia</t>
  </si>
  <si>
    <t>Control de Entregas</t>
  </si>
  <si>
    <t>Documento de Diseño</t>
  </si>
  <si>
    <t>Presentación del Prototipo</t>
  </si>
  <si>
    <t>Presentación Producto Final (Clase)</t>
  </si>
  <si>
    <t>Presentación Producto Final (Feria)</t>
  </si>
  <si>
    <t>Producto Final</t>
  </si>
  <si>
    <t>Puntos Extra</t>
  </si>
  <si>
    <t>4. Entrega de documento de diseño y Presentación en clase del prototipo</t>
  </si>
  <si>
    <t>E3</t>
  </si>
  <si>
    <t>E4</t>
  </si>
  <si>
    <t>NAO</t>
  </si>
  <si>
    <t>SI</t>
  </si>
  <si>
    <t>NO</t>
  </si>
  <si>
    <t>J1</t>
  </si>
  <si>
    <t>J2</t>
  </si>
  <si>
    <t>J3</t>
  </si>
  <si>
    <t>J4</t>
  </si>
  <si>
    <t>J5</t>
  </si>
  <si>
    <t>Estudiantes</t>
  </si>
  <si>
    <t>EJurado</t>
  </si>
  <si>
    <t>1. Aplicación de los conceptos + Evaluación de Estudiantes</t>
  </si>
  <si>
    <t>Equipo #1</t>
  </si>
  <si>
    <t>E5</t>
  </si>
  <si>
    <t>Equipo #2</t>
  </si>
  <si>
    <t>Equipo #3</t>
  </si>
  <si>
    <t>Equipo #4</t>
  </si>
  <si>
    <t>Equipo #5</t>
  </si>
  <si>
    <t>J6</t>
  </si>
  <si>
    <t>J7</t>
  </si>
  <si>
    <t>88.57</t>
  </si>
  <si>
    <t>93.37</t>
  </si>
  <si>
    <t>92.46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</si>
</sst>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indexed="44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14"/>
        <bgColor indexed="33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4" fillId="0" borderId="0"/>
    <xf numFmtId="0" fontId="5" fillId="0" borderId="0"/>
    <xf numFmtId="0" fontId="4" fillId="0" borderId="0"/>
    <xf numFmtId="0" fontId="26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/>
    <xf numFmtId="0" fontId="9" fillId="2" borderId="2" xfId="0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2" fontId="10" fillId="6" borderId="2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1" fontId="10" fillId="0" borderId="2" xfId="0" applyNumberFormat="1" applyFont="1" applyBorder="1" applyAlignment="1">
      <alignment horizontal="center" vertical="center"/>
    </xf>
    <xf numFmtId="0" fontId="13" fillId="0" borderId="0" xfId="2"/>
    <xf numFmtId="0" fontId="13" fillId="0" borderId="0" xfId="2" applyAlignment="1">
      <alignment horizontal="center"/>
    </xf>
    <xf numFmtId="0" fontId="8" fillId="0" borderId="0" xfId="2" applyFont="1"/>
    <xf numFmtId="0" fontId="9" fillId="2" borderId="2" xfId="2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right" vertical="center"/>
    </xf>
    <xf numFmtId="1" fontId="11" fillId="0" borderId="2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8" fillId="0" borderId="1" xfId="2" applyFont="1" applyBorder="1"/>
    <xf numFmtId="0" fontId="9" fillId="2" borderId="2" xfId="2" applyFont="1" applyFill="1" applyBorder="1" applyAlignment="1">
      <alignment horizontal="center"/>
    </xf>
    <xf numFmtId="2" fontId="12" fillId="0" borderId="5" xfId="2" applyNumberFormat="1" applyFont="1" applyBorder="1" applyAlignment="1">
      <alignment horizontal="center"/>
    </xf>
    <xf numFmtId="2" fontId="10" fillId="4" borderId="2" xfId="2" applyNumberFormat="1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9" fillId="2" borderId="7" xfId="2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2" fontId="12" fillId="7" borderId="5" xfId="2" applyNumberFormat="1" applyFont="1" applyFill="1" applyBorder="1" applyAlignment="1">
      <alignment horizontal="center"/>
    </xf>
    <xf numFmtId="2" fontId="10" fillId="8" borderId="2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0" fillId="0" borderId="0" xfId="2" applyFont="1"/>
    <xf numFmtId="0" fontId="9" fillId="2" borderId="0" xfId="0" applyFont="1" applyFill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" fontId="10" fillId="6" borderId="8" xfId="0" applyNumberFormat="1" applyFont="1" applyFill="1" applyBorder="1" applyAlignment="1">
      <alignment horizontal="center"/>
    </xf>
    <xf numFmtId="2" fontId="10" fillId="4" borderId="5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2" fontId="0" fillId="0" borderId="0" xfId="0" applyNumberFormat="1"/>
    <xf numFmtId="2" fontId="10" fillId="0" borderId="2" xfId="0" applyNumberFormat="1" applyFont="1" applyBorder="1" applyAlignment="1">
      <alignment horizontal="center"/>
    </xf>
    <xf numFmtId="164" fontId="9" fillId="2" borderId="6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1" xfId="0" applyFont="1" applyBorder="1"/>
    <xf numFmtId="0" fontId="17" fillId="0" borderId="0" xfId="0" applyFont="1"/>
    <xf numFmtId="0" fontId="18" fillId="2" borderId="2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19" fillId="4" borderId="2" xfId="0" applyNumberFormat="1" applyFont="1" applyFill="1" applyBorder="1" applyAlignment="1">
      <alignment horizontal="center"/>
    </xf>
    <xf numFmtId="2" fontId="19" fillId="5" borderId="2" xfId="0" applyNumberFormat="1" applyFont="1" applyFill="1" applyBorder="1" applyAlignment="1">
      <alignment horizontal="center"/>
    </xf>
    <xf numFmtId="2" fontId="19" fillId="3" borderId="2" xfId="0" applyNumberFormat="1" applyFont="1" applyFill="1" applyBorder="1" applyAlignment="1">
      <alignment horizontal="center"/>
    </xf>
    <xf numFmtId="2" fontId="19" fillId="6" borderId="2" xfId="0" applyNumberFormat="1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0" fontId="20" fillId="3" borderId="2" xfId="0" applyFont="1" applyFill="1" applyBorder="1" applyAlignment="1">
      <alignment horizontal="center"/>
    </xf>
    <xf numFmtId="1" fontId="19" fillId="0" borderId="2" xfId="0" applyNumberFormat="1" applyFont="1" applyBorder="1" applyAlignment="1">
      <alignment horizontal="center"/>
    </xf>
    <xf numFmtId="0" fontId="18" fillId="2" borderId="3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4" fillId="2" borderId="2" xfId="0" applyFont="1" applyFill="1" applyBorder="1" applyAlignment="1">
      <alignment horizontal="center"/>
    </xf>
    <xf numFmtId="16" fontId="24" fillId="2" borderId="10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" fontId="25" fillId="0" borderId="5" xfId="0" applyNumberFormat="1" applyFont="1" applyBorder="1" applyAlignment="1">
      <alignment horizontal="center"/>
    </xf>
    <xf numFmtId="2" fontId="25" fillId="9" borderId="5" xfId="0" applyNumberFormat="1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/>
    </xf>
    <xf numFmtId="2" fontId="12" fillId="0" borderId="0" xfId="2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1" fillId="0" borderId="0" xfId="2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2" fontId="10" fillId="6" borderId="11" xfId="0" applyNumberFormat="1" applyFont="1" applyFill="1" applyBorder="1" applyAlignment="1">
      <alignment horizontal="center"/>
    </xf>
    <xf numFmtId="0" fontId="8" fillId="0" borderId="0" xfId="0" applyFont="1"/>
    <xf numFmtId="2" fontId="10" fillId="0" borderId="9" xfId="0" applyNumberFormat="1" applyFont="1" applyBorder="1" applyAlignment="1">
      <alignment horizontal="center"/>
    </xf>
    <xf numFmtId="2" fontId="10" fillId="10" borderId="2" xfId="0" applyNumberFormat="1" applyFont="1" applyFill="1" applyBorder="1" applyAlignment="1">
      <alignment horizontal="center"/>
    </xf>
    <xf numFmtId="2" fontId="10" fillId="4" borderId="8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1" fontId="10" fillId="0" borderId="6" xfId="2" applyNumberFormat="1" applyFont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9" fontId="10" fillId="0" borderId="11" xfId="2" applyNumberFormat="1" applyFont="1" applyBorder="1" applyAlignment="1">
      <alignment horizontal="center" vertical="center"/>
    </xf>
    <xf numFmtId="9" fontId="11" fillId="0" borderId="11" xfId="2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16" fontId="9" fillId="2" borderId="6" xfId="0" applyNumberFormat="1" applyFont="1" applyFill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/>
    </xf>
    <xf numFmtId="2" fontId="10" fillId="0" borderId="0" xfId="2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14" fontId="9" fillId="2" borderId="2" xfId="0" applyNumberFormat="1" applyFont="1" applyFill="1" applyBorder="1" applyAlignment="1">
      <alignment horizontal="center"/>
    </xf>
    <xf numFmtId="14" fontId="9" fillId="2" borderId="6" xfId="0" applyNumberFormat="1" applyFont="1" applyFill="1" applyBorder="1" applyAlignment="1">
      <alignment horizontal="center"/>
    </xf>
    <xf numFmtId="14" fontId="9" fillId="2" borderId="11" xfId="0" applyNumberFormat="1" applyFont="1" applyFill="1" applyBorder="1" applyAlignment="1">
      <alignment horizontal="center"/>
    </xf>
    <xf numFmtId="2" fontId="12" fillId="7" borderId="11" xfId="2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6" fontId="9" fillId="2" borderId="1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9" fillId="2" borderId="2" xfId="0" applyFont="1" applyFill="1" applyBorder="1" applyAlignment="1">
      <alignment horizontal="center" vertical="center"/>
    </xf>
    <xf numFmtId="0" fontId="11" fillId="0" borderId="0" xfId="11" applyFont="1" applyAlignment="1">
      <alignment horizontal="center" vertical="center"/>
    </xf>
    <xf numFmtId="0" fontId="9" fillId="2" borderId="6" xfId="11" applyFont="1" applyFill="1" applyBorder="1" applyAlignment="1">
      <alignment horizontal="center"/>
    </xf>
    <xf numFmtId="0" fontId="9" fillId="2" borderId="7" xfId="11" applyFont="1" applyFill="1" applyBorder="1" applyAlignment="1">
      <alignment horizontal="center"/>
    </xf>
    <xf numFmtId="2" fontId="12" fillId="7" borderId="11" xfId="11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9" fillId="2" borderId="6" xfId="9" applyFont="1" applyFill="1" applyBorder="1" applyAlignment="1">
      <alignment horizontal="center"/>
    </xf>
    <xf numFmtId="0" fontId="9" fillId="2" borderId="7" xfId="9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2" borderId="9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1" xfId="11" applyFont="1" applyBorder="1" applyAlignment="1">
      <alignment horizontal="center" vertical="center"/>
    </xf>
    <xf numFmtId="0" fontId="11" fillId="0" borderId="0" xfId="11" applyFont="1" applyAlignment="1">
      <alignment horizontal="center" vertical="center"/>
    </xf>
    <xf numFmtId="0" fontId="7" fillId="0" borderId="0" xfId="2" applyFont="1" applyAlignment="1">
      <alignment horizont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12">
    <cellStyle name="Normal" xfId="0" builtinId="0"/>
    <cellStyle name="Normal 2" xfId="1"/>
    <cellStyle name="Normal 2 2" xfId="2"/>
    <cellStyle name="Normal 2 2 2" xfId="9"/>
    <cellStyle name="Normal 2 2 2 2" xfId="10"/>
    <cellStyle name="Normal 2 2 2 3" xfId="11"/>
    <cellStyle name="Normal 3" xfId="3"/>
    <cellStyle name="Normal 4" xfId="4"/>
    <cellStyle name="Normal 5" xfId="5"/>
    <cellStyle name="Normal 6" xfId="6"/>
    <cellStyle name="Normal 6 2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ysdrb/Dropbox/Curso%20Discretas/Notas/Universidad/Curso%20ProbaEstad/Notas/CI1352-Grupo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oria"/>
      <sheetName val="Retroalimentacion"/>
      <sheetName val="PortafolioEvidencias"/>
      <sheetName val="Bitacora"/>
      <sheetName val="AprendizajeColaborativo"/>
      <sheetName val="AprendizajeColaborativo_P1"/>
      <sheetName val="AprendizajeColaborativo_P2"/>
      <sheetName val="AprendizajeColaborativo_P3"/>
      <sheetName val="AprendizajeColaborativo_P4"/>
      <sheetName val="Quices"/>
      <sheetName val="Tareas"/>
      <sheetName val="Proyecto"/>
      <sheetName val="Examenes"/>
      <sheetName val="PlumaRoja"/>
      <sheetName val="Equipos Colaborativos"/>
      <sheetName val="DV-IDENTITY-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42"/>
  <sheetViews>
    <sheetView tabSelected="1" zoomScaleNormal="100" workbookViewId="0">
      <pane xSplit="1" ySplit="8" topLeftCell="B9" activePane="bottomRight" state="frozen"/>
      <selection pane="topRight" activeCell="K1" sqref="K1"/>
      <selection pane="bottomLeft" activeCell="A9" sqref="A9"/>
      <selection pane="bottomRight" activeCell="A4" sqref="A4:R4"/>
    </sheetView>
  </sheetViews>
  <sheetFormatPr baseColWidth="10" defaultColWidth="11.42578125" defaultRowHeight="12.75" x14ac:dyDescent="0.2"/>
  <cols>
    <col min="1" max="1" width="7.7109375" style="42" customWidth="1"/>
    <col min="2" max="7" width="10.7109375" style="42" customWidth="1"/>
    <col min="8" max="8" width="12.42578125" style="42" bestFit="1" customWidth="1"/>
    <col min="9" max="13" width="10.7109375" style="42" customWidth="1"/>
    <col min="14" max="15" width="14.85546875" style="42" customWidth="1"/>
    <col min="16" max="17" width="10.7109375" style="42" customWidth="1"/>
    <col min="18" max="18" width="13.7109375" style="42" customWidth="1"/>
    <col min="19" max="16384" width="11.42578125" style="42"/>
  </cols>
  <sheetData>
    <row r="1" spans="1:18" ht="15.75" x14ac:dyDescent="0.25">
      <c r="A1" s="111" t="s">
        <v>83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5.75" x14ac:dyDescent="0.25">
      <c r="A2" s="111" t="s">
        <v>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5.75" x14ac:dyDescent="0.25">
      <c r="A3" s="111" t="s">
        <v>80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8" ht="15.75" x14ac:dyDescent="0.25">
      <c r="A4" s="112" t="s">
        <v>105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15.75" x14ac:dyDescent="0.25">
      <c r="A5" s="111" t="s">
        <v>82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ht="15.75" x14ac:dyDescent="0.25">
      <c r="A6" s="110" t="s">
        <v>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</row>
    <row r="7" spans="1:18" x14ac:dyDescent="0.2">
      <c r="A7" s="43"/>
      <c r="B7" s="43"/>
      <c r="C7" s="43"/>
      <c r="D7" s="44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8" x14ac:dyDescent="0.2">
      <c r="A8" s="46" t="s">
        <v>1</v>
      </c>
      <c r="B8" s="47" t="s">
        <v>2</v>
      </c>
      <c r="C8" s="47" t="s">
        <v>3</v>
      </c>
      <c r="D8" s="46" t="s">
        <v>4</v>
      </c>
      <c r="E8" s="46" t="s">
        <v>5</v>
      </c>
      <c r="F8" s="46" t="s">
        <v>6</v>
      </c>
      <c r="G8" s="46" t="s">
        <v>7</v>
      </c>
      <c r="H8" s="3" t="s">
        <v>97</v>
      </c>
      <c r="I8" s="3" t="s">
        <v>98</v>
      </c>
      <c r="J8" s="46" t="s">
        <v>8</v>
      </c>
      <c r="K8" s="46" t="s">
        <v>9</v>
      </c>
      <c r="L8" s="46" t="s">
        <v>10</v>
      </c>
      <c r="M8" s="46" t="s">
        <v>11</v>
      </c>
      <c r="N8" s="46" t="s">
        <v>81</v>
      </c>
      <c r="O8" s="3" t="s">
        <v>143</v>
      </c>
      <c r="P8" s="46" t="s">
        <v>12</v>
      </c>
      <c r="Q8" s="46" t="s">
        <v>13</v>
      </c>
      <c r="R8" s="46" t="s">
        <v>14</v>
      </c>
    </row>
    <row r="9" spans="1:18" x14ac:dyDescent="0.2">
      <c r="A9" s="86" t="s">
        <v>115</v>
      </c>
      <c r="B9" s="48">
        <f ca="1">CELL("contents",AprendizajeColaborativo!G4)</f>
        <v>99.287000000000006</v>
      </c>
      <c r="C9" s="49">
        <f ca="1">B9*0.2</f>
        <v>19.857400000000002</v>
      </c>
      <c r="D9" s="48">
        <f ca="1">CELL("contents",Quices!G4)</f>
        <v>86.2</v>
      </c>
      <c r="E9" s="49">
        <f ca="1">D9*0.1</f>
        <v>8.620000000000001</v>
      </c>
      <c r="F9" s="48">
        <f ca="1">CELL("contents",Tareas!Q5)</f>
        <v>77.599999999999994</v>
      </c>
      <c r="G9" s="49">
        <f ca="1">F9*0.1</f>
        <v>7.76</v>
      </c>
      <c r="H9" s="48">
        <f>JuegoMesa!N6</f>
        <v>94.994791666666671</v>
      </c>
      <c r="I9" s="49">
        <f>H9*0.3</f>
        <v>28.498437500000001</v>
      </c>
      <c r="J9" s="48">
        <f ca="1">CELL("contents",Examenes!D5)</f>
        <v>75</v>
      </c>
      <c r="K9" s="48">
        <f ca="1">CELL("contents",Examenes!G5)</f>
        <v>90</v>
      </c>
      <c r="L9" s="48">
        <f ca="1">CELL("contents",Examenes!J5)</f>
        <v>101</v>
      </c>
      <c r="M9" s="49">
        <f ca="1">J9*0.1+K9*0.1+L9*0.1</f>
        <v>26.6</v>
      </c>
      <c r="N9" s="49">
        <f ca="1">CELL("contents",Retroalimentacion!K4)</f>
        <v>0</v>
      </c>
      <c r="O9" s="4">
        <v>0</v>
      </c>
      <c r="P9" s="50">
        <f ca="1">C9+E9+G9+I9+M9+N9+O9</f>
        <v>91.335837499999997</v>
      </c>
      <c r="Q9" s="51">
        <f ca="1">IF(((P9*0.1)-INT(P9*0.1))&gt;=0.25,IF(((P9*0.1)-INT(P9*0.1))&lt;=0.5,CEILING(P9,5),IF(((P9*0.1)-INT(P9*0.1))&gt;=0.75,CEILING(P9,5),FLOOR(P9,5))),FLOOR(P9,5))</f>
        <v>90</v>
      </c>
      <c r="R9" s="51" t="str">
        <f ca="1">IF(Q9&gt;=67.5,"APROBADO",IF(Q9&gt;=57.5,"AMPLIACION","REPROBADO"))</f>
        <v>APROBADO</v>
      </c>
    </row>
    <row r="10" spans="1:18" x14ac:dyDescent="0.2">
      <c r="A10" s="86" t="s">
        <v>116</v>
      </c>
      <c r="B10" s="48">
        <f ca="1">CELL("contents",AprendizajeColaborativo!G5)</f>
        <v>93.10299999999998</v>
      </c>
      <c r="C10" s="49">
        <f t="shared" ref="C10:C32" ca="1" si="0">B10*0.2</f>
        <v>18.620599999999996</v>
      </c>
      <c r="D10" s="48">
        <f ca="1">CELL("contents",Quices!G5)</f>
        <v>80.400000000000006</v>
      </c>
      <c r="E10" s="49">
        <f t="shared" ref="E10:E30" ca="1" si="1">D10*0.1</f>
        <v>8.0400000000000009</v>
      </c>
      <c r="F10" s="48">
        <f ca="1">CELL("contents",Tareas!Q6)</f>
        <v>76.25</v>
      </c>
      <c r="G10" s="49">
        <f t="shared" ref="G10:G30" ca="1" si="2">F10*0.1</f>
        <v>7.625</v>
      </c>
      <c r="H10" s="48">
        <f>JuegoMesa!N7</f>
        <v>91.962202380952377</v>
      </c>
      <c r="I10" s="49">
        <f t="shared" ref="I10:I30" si="3">H10*0.3</f>
        <v>27.588660714285712</v>
      </c>
      <c r="J10" s="48">
        <f ca="1">CELL("contents",Examenes!D6)</f>
        <v>71</v>
      </c>
      <c r="K10" s="48">
        <f ca="1">CELL("contents",Examenes!G6)</f>
        <v>95</v>
      </c>
      <c r="L10" s="48">
        <f ca="1">CELL("contents",Examenes!J6)</f>
        <v>104</v>
      </c>
      <c r="M10" s="49">
        <f t="shared" ref="M10:M30" ca="1" si="4">J10*0.1+K10*0.1+L10*0.1</f>
        <v>27</v>
      </c>
      <c r="N10" s="49">
        <f ca="1">CELL("contents",Retroalimentacion!K5)</f>
        <v>0</v>
      </c>
      <c r="O10" s="4">
        <v>0</v>
      </c>
      <c r="P10" s="50">
        <f t="shared" ref="P10:P32" ca="1" si="5">C10+E10+G10+I10+M10+N10+O10</f>
        <v>88.874260714285711</v>
      </c>
      <c r="Q10" s="51">
        <f t="shared" ref="Q10:Q29" ca="1" si="6">IF(((P10*0.1)-INT(P10*0.1))&gt;=0.25,IF(((P10*0.1)-INT(P10*0.1))&lt;=0.5,CEILING(P10,5),IF(((P10*0.1)-INT(P10*0.1))&gt;=0.75,CEILING(P10,5),FLOOR(P10,5))),FLOOR(P10,5))</f>
        <v>90</v>
      </c>
      <c r="R10" s="51" t="str">
        <f t="shared" ref="R10:R30" ca="1" si="7">IF(Q10&gt;=67.5,"APROBADO",IF(Q10&gt;=57.5,"AMPLIACION","REPROBADO"))</f>
        <v>APROBADO</v>
      </c>
    </row>
    <row r="11" spans="1:18" x14ac:dyDescent="0.2">
      <c r="A11" s="86" t="s">
        <v>117</v>
      </c>
      <c r="B11" s="48">
        <f ca="1">CELL("contents",AprendizajeColaborativo!G6)</f>
        <v>96.427999999999983</v>
      </c>
      <c r="C11" s="49">
        <f t="shared" ca="1" si="0"/>
        <v>19.285599999999999</v>
      </c>
      <c r="D11" s="48">
        <f ca="1">CELL("contents",Quices!G6)</f>
        <v>80.400000000000006</v>
      </c>
      <c r="E11" s="49">
        <f t="shared" ca="1" si="1"/>
        <v>8.0400000000000009</v>
      </c>
      <c r="F11" s="48">
        <f ca="1">CELL("contents",Tareas!Q7)</f>
        <v>77</v>
      </c>
      <c r="G11" s="49">
        <f t="shared" ca="1" si="2"/>
        <v>7.7</v>
      </c>
      <c r="H11" s="48">
        <f>JuegoMesa!N8</f>
        <v>92.268452380952382</v>
      </c>
      <c r="I11" s="49">
        <f t="shared" si="3"/>
        <v>27.680535714285714</v>
      </c>
      <c r="J11" s="48">
        <f ca="1">CELL("contents",Examenes!D7)</f>
        <v>75</v>
      </c>
      <c r="K11" s="48">
        <f ca="1">CELL("contents",Examenes!G7)</f>
        <v>90</v>
      </c>
      <c r="L11" s="48">
        <f ca="1">CELL("contents",Examenes!J7)</f>
        <v>104</v>
      </c>
      <c r="M11" s="49">
        <f t="shared" ca="1" si="4"/>
        <v>26.9</v>
      </c>
      <c r="N11" s="49">
        <f ca="1">CELL("contents",Retroalimentacion!K6)</f>
        <v>0</v>
      </c>
      <c r="O11" s="4">
        <v>0</v>
      </c>
      <c r="P11" s="50">
        <f t="shared" ca="1" si="5"/>
        <v>89.606135714285728</v>
      </c>
      <c r="Q11" s="51">
        <f t="shared" ca="1" si="6"/>
        <v>90</v>
      </c>
      <c r="R11" s="51" t="str">
        <f t="shared" ca="1" si="7"/>
        <v>APROBADO</v>
      </c>
    </row>
    <row r="12" spans="1:18" x14ac:dyDescent="0.2">
      <c r="A12" s="86" t="s">
        <v>118</v>
      </c>
      <c r="B12" s="48">
        <f ca="1">CELL("contents",AprendizajeColaborativo!G7)</f>
        <v>99.162000000000006</v>
      </c>
      <c r="C12" s="49">
        <f t="shared" ca="1" si="0"/>
        <v>19.832400000000003</v>
      </c>
      <c r="D12" s="48">
        <f ca="1">CELL("contents",Quices!G7)</f>
        <v>86.2</v>
      </c>
      <c r="E12" s="49">
        <f t="shared" ca="1" si="1"/>
        <v>8.620000000000001</v>
      </c>
      <c r="F12" s="48">
        <f ca="1">CELL("contents",Tareas!Q8)</f>
        <v>76.974999999999994</v>
      </c>
      <c r="G12" s="49">
        <f t="shared" ca="1" si="2"/>
        <v>7.6974999999999998</v>
      </c>
      <c r="H12" s="48">
        <f>JuegoMesa!N9</f>
        <v>94.419791666666669</v>
      </c>
      <c r="I12" s="49">
        <f t="shared" si="3"/>
        <v>28.325937499999998</v>
      </c>
      <c r="J12" s="48">
        <f ca="1">CELL("contents",Examenes!D8)</f>
        <v>71</v>
      </c>
      <c r="K12" s="48">
        <f ca="1">CELL("contents",Examenes!G8)</f>
        <v>82</v>
      </c>
      <c r="L12" s="48">
        <f ca="1">CELL("contents",Examenes!J8)</f>
        <v>101</v>
      </c>
      <c r="M12" s="49">
        <f t="shared" ca="1" si="4"/>
        <v>25.400000000000002</v>
      </c>
      <c r="N12" s="49">
        <f ca="1">CELL("contents",Retroalimentacion!K7)</f>
        <v>2</v>
      </c>
      <c r="O12" s="4">
        <v>0</v>
      </c>
      <c r="P12" s="50">
        <f t="shared" ca="1" si="5"/>
        <v>91.875837500000003</v>
      </c>
      <c r="Q12" s="51">
        <f t="shared" ca="1" si="6"/>
        <v>90</v>
      </c>
      <c r="R12" s="51" t="str">
        <f t="shared" ca="1" si="7"/>
        <v>APROBADO</v>
      </c>
    </row>
    <row r="13" spans="1:18" x14ac:dyDescent="0.2">
      <c r="A13" s="86" t="s">
        <v>119</v>
      </c>
      <c r="B13" s="48">
        <f ca="1">CELL("contents",AprendizajeColaborativo!G8)</f>
        <v>93.762</v>
      </c>
      <c r="C13" s="49">
        <f t="shared" ca="1" si="0"/>
        <v>18.752400000000002</v>
      </c>
      <c r="D13" s="48">
        <f ca="1">CELL("contents",Quices!G8)</f>
        <v>66.8</v>
      </c>
      <c r="E13" s="49">
        <f t="shared" ca="1" si="1"/>
        <v>6.68</v>
      </c>
      <c r="F13" s="48">
        <f ca="1">CELL("contents",Tareas!Q9)</f>
        <v>68.099999999999994</v>
      </c>
      <c r="G13" s="49">
        <f t="shared" ca="1" si="2"/>
        <v>6.81</v>
      </c>
      <c r="H13" s="48">
        <f>JuegoMesa!N10</f>
        <v>82.45550595238096</v>
      </c>
      <c r="I13" s="49">
        <f t="shared" si="3"/>
        <v>24.736651785714287</v>
      </c>
      <c r="J13" s="48">
        <f ca="1">CELL("contents",Examenes!D9)</f>
        <v>70</v>
      </c>
      <c r="K13" s="48">
        <f ca="1">CELL("contents",Examenes!G9)</f>
        <v>95</v>
      </c>
      <c r="L13" s="48">
        <f ca="1">CELL("contents",Examenes!J9)</f>
        <v>101</v>
      </c>
      <c r="M13" s="49">
        <f t="shared" ca="1" si="4"/>
        <v>26.6</v>
      </c>
      <c r="N13" s="49">
        <f ca="1">CELL("contents",Retroalimentacion!K8)</f>
        <v>0</v>
      </c>
      <c r="O13" s="4">
        <v>0</v>
      </c>
      <c r="P13" s="50">
        <f t="shared" ca="1" si="5"/>
        <v>83.579051785714285</v>
      </c>
      <c r="Q13" s="51">
        <f t="shared" ca="1" si="6"/>
        <v>85</v>
      </c>
      <c r="R13" s="51" t="str">
        <f t="shared" ca="1" si="7"/>
        <v>APROBADO</v>
      </c>
    </row>
    <row r="14" spans="1:18" x14ac:dyDescent="0.2">
      <c r="A14" s="86" t="s">
        <v>107</v>
      </c>
      <c r="B14" s="48">
        <f ca="1">CELL("contents",AprendizajeColaborativo!G9)</f>
        <v>95.935000000000002</v>
      </c>
      <c r="C14" s="49">
        <f t="shared" ca="1" si="0"/>
        <v>19.187000000000001</v>
      </c>
      <c r="D14" s="48">
        <f ca="1">CELL("contents",Quices!G9)</f>
        <v>75</v>
      </c>
      <c r="E14" s="49">
        <f t="shared" ca="1" si="1"/>
        <v>7.5</v>
      </c>
      <c r="F14" s="48">
        <f ca="1">CELL("contents",Tareas!Q10)</f>
        <v>77.7</v>
      </c>
      <c r="G14" s="49">
        <f t="shared" ca="1" si="2"/>
        <v>7.7700000000000005</v>
      </c>
      <c r="H14" s="48">
        <f>JuegoMesa!N11</f>
        <v>95.718154761904771</v>
      </c>
      <c r="I14" s="49">
        <f t="shared" si="3"/>
        <v>28.715446428571429</v>
      </c>
      <c r="J14" s="48">
        <f ca="1">CELL("contents",Examenes!D10)</f>
        <v>70</v>
      </c>
      <c r="K14" s="48">
        <f ca="1">CELL("contents",Examenes!G10)</f>
        <v>88</v>
      </c>
      <c r="L14" s="48">
        <f ca="1">CELL("contents",Examenes!J10)</f>
        <v>86</v>
      </c>
      <c r="M14" s="49">
        <f t="shared" ca="1" si="4"/>
        <v>24.4</v>
      </c>
      <c r="N14" s="49">
        <f ca="1">CELL("contents",Retroalimentacion!K9)</f>
        <v>0</v>
      </c>
      <c r="O14" s="4">
        <v>0</v>
      </c>
      <c r="P14" s="50">
        <f t="shared" ca="1" si="5"/>
        <v>87.572446428571425</v>
      </c>
      <c r="Q14" s="51">
        <f t="shared" ca="1" si="6"/>
        <v>90</v>
      </c>
      <c r="R14" s="51" t="str">
        <f t="shared" ca="1" si="7"/>
        <v>APROBADO</v>
      </c>
    </row>
    <row r="15" spans="1:18" x14ac:dyDescent="0.2">
      <c r="A15" s="86" t="s">
        <v>135</v>
      </c>
      <c r="B15" s="48">
        <f ca="1">CELL("contents",AprendizajeColaborativo!G10)</f>
        <v>45.008000000000003</v>
      </c>
      <c r="C15" s="49">
        <f t="shared" ca="1" si="0"/>
        <v>9.0016000000000016</v>
      </c>
      <c r="D15" s="48">
        <f ca="1">CELL("contents",Quices!G10)</f>
        <v>34.4</v>
      </c>
      <c r="E15" s="49">
        <f t="shared" ca="1" si="1"/>
        <v>3.44</v>
      </c>
      <c r="F15" s="48">
        <f ca="1">CELL("contents",Tareas!Q11)</f>
        <v>50.2</v>
      </c>
      <c r="G15" s="49">
        <f t="shared" ca="1" si="2"/>
        <v>5.0200000000000005</v>
      </c>
      <c r="H15" s="48">
        <f>JuegoMesa!N12</f>
        <v>83.378869047619048</v>
      </c>
      <c r="I15" s="49">
        <f t="shared" si="3"/>
        <v>25.013660714285713</v>
      </c>
      <c r="J15" s="48">
        <f ca="1">CELL("contents",Examenes!D11)</f>
        <v>0</v>
      </c>
      <c r="K15" s="48">
        <f ca="1">CELL("contents",Examenes!G11)</f>
        <v>0</v>
      </c>
      <c r="L15" s="48">
        <f ca="1">CELL("contents",Examenes!J11)</f>
        <v>0</v>
      </c>
      <c r="M15" s="49">
        <f t="shared" ca="1" si="4"/>
        <v>0</v>
      </c>
      <c r="N15" s="49">
        <f ca="1">CELL("contents",Retroalimentacion!K10)</f>
        <v>0</v>
      </c>
      <c r="O15" s="4">
        <v>5</v>
      </c>
      <c r="P15" s="50">
        <f t="shared" ca="1" si="5"/>
        <v>47.47526071428571</v>
      </c>
      <c r="Q15" s="51">
        <f t="shared" ca="1" si="6"/>
        <v>45</v>
      </c>
      <c r="R15" s="51" t="str">
        <f t="shared" ca="1" si="7"/>
        <v>REPROBADO</v>
      </c>
    </row>
    <row r="16" spans="1:18" x14ac:dyDescent="0.2">
      <c r="A16" s="86" t="s">
        <v>120</v>
      </c>
      <c r="B16" s="48">
        <f ca="1">CELL("contents",AprendizajeColaborativo!G11)</f>
        <v>95.908000000000001</v>
      </c>
      <c r="C16" s="49">
        <f t="shared" ca="1" si="0"/>
        <v>19.1816</v>
      </c>
      <c r="D16" s="48">
        <f ca="1">CELL("contents",Quices!G11)</f>
        <v>75</v>
      </c>
      <c r="E16" s="49">
        <f t="shared" ca="1" si="1"/>
        <v>7.5</v>
      </c>
      <c r="F16" s="48">
        <f ca="1">CELL("contents",Tareas!Q12)</f>
        <v>77.7</v>
      </c>
      <c r="G16" s="49">
        <f t="shared" ca="1" si="2"/>
        <v>7.7700000000000005</v>
      </c>
      <c r="H16" s="48">
        <f>JuegoMesa!N13</f>
        <v>95.543154761904773</v>
      </c>
      <c r="I16" s="49">
        <f t="shared" si="3"/>
        <v>28.662946428571431</v>
      </c>
      <c r="J16" s="48">
        <f ca="1">CELL("contents",Examenes!D12)</f>
        <v>68</v>
      </c>
      <c r="K16" s="48">
        <f ca="1">CELL("contents",Examenes!G12)</f>
        <v>57</v>
      </c>
      <c r="L16" s="48">
        <f ca="1">CELL("contents",Examenes!J12)</f>
        <v>86</v>
      </c>
      <c r="M16" s="49">
        <f t="shared" ca="1" si="4"/>
        <v>21.1</v>
      </c>
      <c r="N16" s="49">
        <f ca="1">CELL("contents",Retroalimentacion!K11)</f>
        <v>0</v>
      </c>
      <c r="O16" s="4">
        <v>0</v>
      </c>
      <c r="P16" s="50">
        <f t="shared" ca="1" si="5"/>
        <v>84.214546428571424</v>
      </c>
      <c r="Q16" s="51">
        <f t="shared" ca="1" si="6"/>
        <v>85</v>
      </c>
      <c r="R16" s="51" t="str">
        <f t="shared" ca="1" si="7"/>
        <v>APROBADO</v>
      </c>
    </row>
    <row r="17" spans="1:18" x14ac:dyDescent="0.2">
      <c r="A17" s="86" t="s">
        <v>109</v>
      </c>
      <c r="B17" s="48">
        <f ca="1">CELL("contents",AprendizajeColaborativo!G12)</f>
        <v>64.094000000000008</v>
      </c>
      <c r="C17" s="49">
        <f t="shared" ca="1" si="0"/>
        <v>12.818800000000003</v>
      </c>
      <c r="D17" s="48">
        <f ca="1">CELL("contents",Quices!G12)</f>
        <v>50.6</v>
      </c>
      <c r="E17" s="49">
        <f t="shared" ca="1" si="1"/>
        <v>5.0600000000000005</v>
      </c>
      <c r="F17" s="48">
        <f ca="1">CELL("contents",Tareas!Q13)</f>
        <v>62.7</v>
      </c>
      <c r="G17" s="49">
        <f t="shared" ca="1" si="2"/>
        <v>6.2700000000000005</v>
      </c>
      <c r="H17" s="48">
        <f>JuegoMesa!N14</f>
        <v>90.980654761904759</v>
      </c>
      <c r="I17" s="49">
        <f t="shared" si="3"/>
        <v>27.294196428571428</v>
      </c>
      <c r="J17" s="48">
        <f ca="1">CELL("contents",Examenes!D13)</f>
        <v>83</v>
      </c>
      <c r="K17" s="48">
        <f ca="1">CELL("contents",Examenes!G13)</f>
        <v>98</v>
      </c>
      <c r="L17" s="48">
        <f ca="1">CELL("contents",Examenes!J13)</f>
        <v>40.5</v>
      </c>
      <c r="M17" s="49">
        <f t="shared" ca="1" si="4"/>
        <v>22.150000000000002</v>
      </c>
      <c r="N17" s="49">
        <f ca="1">CELL("contents",Retroalimentacion!K12)</f>
        <v>0</v>
      </c>
      <c r="O17" s="4">
        <v>5</v>
      </c>
      <c r="P17" s="50">
        <f t="shared" ca="1" si="5"/>
        <v>78.592996428571439</v>
      </c>
      <c r="Q17" s="51">
        <f t="shared" ca="1" si="6"/>
        <v>80</v>
      </c>
      <c r="R17" s="51" t="str">
        <f t="shared" ca="1" si="7"/>
        <v>APROBADO</v>
      </c>
    </row>
    <row r="18" spans="1:18" x14ac:dyDescent="0.2">
      <c r="A18" s="86" t="s">
        <v>121</v>
      </c>
      <c r="B18" s="48">
        <f ca="1">CELL("contents",AprendizajeColaborativo!G13)</f>
        <v>87.894000000000005</v>
      </c>
      <c r="C18" s="49">
        <f t="shared" ca="1" si="0"/>
        <v>17.578800000000001</v>
      </c>
      <c r="D18" s="48">
        <f ca="1">CELL("contents",Quices!G13)</f>
        <v>87.2</v>
      </c>
      <c r="E18" s="49">
        <f t="shared" ca="1" si="1"/>
        <v>8.7200000000000006</v>
      </c>
      <c r="F18" s="48">
        <f ca="1">CELL("contents",Tareas!Q14)</f>
        <v>73.7</v>
      </c>
      <c r="G18" s="49">
        <f t="shared" ca="1" si="2"/>
        <v>7.370000000000001</v>
      </c>
      <c r="H18" s="48">
        <f>JuegoMesa!N15</f>
        <v>95.064583333333331</v>
      </c>
      <c r="I18" s="49">
        <f t="shared" si="3"/>
        <v>28.519375</v>
      </c>
      <c r="J18" s="48">
        <f ca="1">CELL("contents",Examenes!D14)</f>
        <v>76</v>
      </c>
      <c r="K18" s="48">
        <f ca="1">CELL("contents",Examenes!G14)</f>
        <v>82</v>
      </c>
      <c r="L18" s="48">
        <f ca="1">CELL("contents",Examenes!J14)</f>
        <v>101</v>
      </c>
      <c r="M18" s="49">
        <f t="shared" ca="1" si="4"/>
        <v>25.900000000000002</v>
      </c>
      <c r="N18" s="49">
        <f ca="1">CELL("contents",Retroalimentacion!K13)</f>
        <v>2</v>
      </c>
      <c r="O18" s="4">
        <v>5</v>
      </c>
      <c r="P18" s="50">
        <f t="shared" ca="1" si="5"/>
        <v>95.088175000000007</v>
      </c>
      <c r="Q18" s="51">
        <f t="shared" ca="1" si="6"/>
        <v>95</v>
      </c>
      <c r="R18" s="51" t="str">
        <f t="shared" ca="1" si="7"/>
        <v>APROBADO</v>
      </c>
    </row>
    <row r="19" spans="1:18" x14ac:dyDescent="0.2">
      <c r="A19" s="86" t="s">
        <v>122</v>
      </c>
      <c r="B19" s="48">
        <f ca="1">CELL("contents",AprendizajeColaborativo!G14)</f>
        <v>95.677999999999983</v>
      </c>
      <c r="C19" s="49">
        <f t="shared" ca="1" si="0"/>
        <v>19.135599999999997</v>
      </c>
      <c r="D19" s="48">
        <f ca="1">CELL("contents",Quices!G14)</f>
        <v>80.400000000000006</v>
      </c>
      <c r="E19" s="49">
        <f t="shared" ca="1" si="1"/>
        <v>8.0400000000000009</v>
      </c>
      <c r="F19" s="48">
        <f ca="1">CELL("contents",Tareas!Q15)</f>
        <v>76.625</v>
      </c>
      <c r="G19" s="49">
        <f t="shared" ca="1" si="2"/>
        <v>7.6625000000000005</v>
      </c>
      <c r="H19" s="48">
        <f>JuegoMesa!N16</f>
        <v>92.514880952380949</v>
      </c>
      <c r="I19" s="49">
        <f t="shared" si="3"/>
        <v>27.754464285714285</v>
      </c>
      <c r="J19" s="48">
        <f ca="1">CELL("contents",Examenes!D15)</f>
        <v>83</v>
      </c>
      <c r="K19" s="48">
        <f ca="1">CELL("contents",Examenes!G15)</f>
        <v>94</v>
      </c>
      <c r="L19" s="48">
        <f ca="1">CELL("contents",Examenes!J15)</f>
        <v>104</v>
      </c>
      <c r="M19" s="49">
        <f t="shared" ca="1" si="4"/>
        <v>28.1</v>
      </c>
      <c r="N19" s="49">
        <f ca="1">CELL("contents",Retroalimentacion!K14)</f>
        <v>1</v>
      </c>
      <c r="O19" s="4">
        <v>2</v>
      </c>
      <c r="P19" s="50">
        <f t="shared" ca="1" si="5"/>
        <v>93.692564285714283</v>
      </c>
      <c r="Q19" s="51">
        <f t="shared" ca="1" si="6"/>
        <v>95</v>
      </c>
      <c r="R19" s="51" t="str">
        <f t="shared" ca="1" si="7"/>
        <v>APROBADO</v>
      </c>
    </row>
    <row r="20" spans="1:18" x14ac:dyDescent="0.2">
      <c r="A20" s="86" t="s">
        <v>123</v>
      </c>
      <c r="B20" s="48">
        <f ca="1">CELL("contents",AprendizajeColaborativo!G15)</f>
        <v>89.867000000000004</v>
      </c>
      <c r="C20" s="49">
        <f t="shared" ca="1" si="0"/>
        <v>17.973400000000002</v>
      </c>
      <c r="D20" s="48">
        <f ca="1">CELL("contents",Quices!G15)</f>
        <v>70.8</v>
      </c>
      <c r="E20" s="49">
        <f t="shared" ca="1" si="1"/>
        <v>7.08</v>
      </c>
      <c r="F20" s="48">
        <f ca="1">CELL("contents",Tareas!Q16)</f>
        <v>72.825000000000003</v>
      </c>
      <c r="G20" s="49">
        <f t="shared" ca="1" si="2"/>
        <v>7.2825000000000006</v>
      </c>
      <c r="H20" s="48">
        <f>JuegoMesa!N17</f>
        <v>93.792857142857144</v>
      </c>
      <c r="I20" s="49">
        <f t="shared" si="3"/>
        <v>28.137857142857143</v>
      </c>
      <c r="J20" s="48">
        <f ca="1">CELL("contents",Examenes!D16)</f>
        <v>83</v>
      </c>
      <c r="K20" s="48">
        <f ca="1">CELL("contents",Examenes!G16)</f>
        <v>94</v>
      </c>
      <c r="L20" s="48">
        <f ca="1">CELL("contents",Examenes!J16)</f>
        <v>106</v>
      </c>
      <c r="M20" s="49">
        <f t="shared" ca="1" si="4"/>
        <v>28.300000000000004</v>
      </c>
      <c r="N20" s="49">
        <f ca="1">CELL("contents",Retroalimentacion!K15)</f>
        <v>2</v>
      </c>
      <c r="O20" s="4">
        <v>0</v>
      </c>
      <c r="P20" s="50">
        <f t="shared" ca="1" si="5"/>
        <v>90.77375714285715</v>
      </c>
      <c r="Q20" s="51">
        <f t="shared" ca="1" si="6"/>
        <v>90</v>
      </c>
      <c r="R20" s="51" t="str">
        <f t="shared" ca="1" si="7"/>
        <v>APROBADO</v>
      </c>
    </row>
    <row r="21" spans="1:18" x14ac:dyDescent="0.2">
      <c r="A21" s="86" t="s">
        <v>124</v>
      </c>
      <c r="B21" s="48">
        <f ca="1">CELL("contents",AprendizajeColaborativo!G16)</f>
        <v>85.592000000000013</v>
      </c>
      <c r="C21" s="49">
        <f t="shared" ca="1" si="0"/>
        <v>17.118400000000005</v>
      </c>
      <c r="D21" s="48">
        <f ca="1">CELL("contents",Quices!G16)</f>
        <v>70.8</v>
      </c>
      <c r="E21" s="49">
        <f t="shared" ca="1" si="1"/>
        <v>7.08</v>
      </c>
      <c r="F21" s="48">
        <f ca="1">CELL("contents",Tareas!Q17)</f>
        <v>73</v>
      </c>
      <c r="G21" s="49">
        <f t="shared" ca="1" si="2"/>
        <v>7.3000000000000007</v>
      </c>
      <c r="H21" s="48">
        <f>JuegoMesa!N18</f>
        <v>92.766071428571436</v>
      </c>
      <c r="I21" s="49">
        <f t="shared" si="3"/>
        <v>27.829821428571432</v>
      </c>
      <c r="J21" s="48">
        <f ca="1">CELL("contents",Examenes!D17)</f>
        <v>68</v>
      </c>
      <c r="K21" s="48">
        <f ca="1">CELL("contents",Examenes!G17)</f>
        <v>94</v>
      </c>
      <c r="L21" s="48">
        <f ca="1">CELL("contents",Examenes!J17)</f>
        <v>106</v>
      </c>
      <c r="M21" s="49">
        <f t="shared" ca="1" si="4"/>
        <v>26.800000000000004</v>
      </c>
      <c r="N21" s="49">
        <f ca="1">CELL("contents",Retroalimentacion!K16)</f>
        <v>0</v>
      </c>
      <c r="O21" s="4">
        <v>0</v>
      </c>
      <c r="P21" s="50">
        <f t="shared" ca="1" si="5"/>
        <v>86.128221428571436</v>
      </c>
      <c r="Q21" s="51">
        <f t="shared" ca="1" si="6"/>
        <v>85</v>
      </c>
      <c r="R21" s="51" t="str">
        <f t="shared" ca="1" si="7"/>
        <v>APROBADO</v>
      </c>
    </row>
    <row r="22" spans="1:18" x14ac:dyDescent="0.2">
      <c r="A22" s="86" t="s">
        <v>110</v>
      </c>
      <c r="B22" s="48">
        <f ca="1">CELL("contents",AprendizajeColaborativo!G17)</f>
        <v>99.287000000000006</v>
      </c>
      <c r="C22" s="49">
        <f t="shared" ca="1" si="0"/>
        <v>19.857400000000002</v>
      </c>
      <c r="D22" s="48">
        <f ca="1">CELL("contents",Quices!G17)</f>
        <v>86.2</v>
      </c>
      <c r="E22" s="49">
        <f t="shared" ca="1" si="1"/>
        <v>8.620000000000001</v>
      </c>
      <c r="F22" s="48">
        <f ca="1">CELL("contents",Tareas!Q18)</f>
        <v>77.599999999999994</v>
      </c>
      <c r="G22" s="49">
        <f t="shared" ca="1" si="2"/>
        <v>7.76</v>
      </c>
      <c r="H22" s="48">
        <f>JuegoMesa!N19</f>
        <v>94.369791666666671</v>
      </c>
      <c r="I22" s="49">
        <f t="shared" si="3"/>
        <v>28.310937500000001</v>
      </c>
      <c r="J22" s="48">
        <f ca="1">CELL("contents",Examenes!D18)</f>
        <v>75</v>
      </c>
      <c r="K22" s="48">
        <f ca="1">CELL("contents",Examenes!G18)</f>
        <v>90</v>
      </c>
      <c r="L22" s="48">
        <f ca="1">CELL("contents",Examenes!J18)</f>
        <v>101</v>
      </c>
      <c r="M22" s="49">
        <f t="shared" ca="1" si="4"/>
        <v>26.6</v>
      </c>
      <c r="N22" s="49">
        <f ca="1">CELL("contents",Retroalimentacion!K17)</f>
        <v>3</v>
      </c>
      <c r="O22" s="4">
        <v>2</v>
      </c>
      <c r="P22" s="50">
        <f t="shared" ca="1" si="5"/>
        <v>96.148337499999997</v>
      </c>
      <c r="Q22" s="51">
        <f t="shared" ca="1" si="6"/>
        <v>95</v>
      </c>
      <c r="R22" s="51" t="str">
        <f t="shared" ca="1" si="7"/>
        <v>APROBADO</v>
      </c>
    </row>
    <row r="23" spans="1:18" x14ac:dyDescent="0.2">
      <c r="A23" s="86" t="s">
        <v>125</v>
      </c>
      <c r="B23" s="48">
        <f ca="1">CELL("contents",AprendizajeColaborativo!G18)</f>
        <v>93.43</v>
      </c>
      <c r="C23" s="49">
        <f t="shared" ca="1" si="0"/>
        <v>18.686000000000003</v>
      </c>
      <c r="D23" s="48">
        <f ca="1">CELL("contents",Quices!G18)</f>
        <v>75</v>
      </c>
      <c r="E23" s="49">
        <f t="shared" ca="1" si="1"/>
        <v>7.5</v>
      </c>
      <c r="F23" s="48">
        <f ca="1">CELL("contents",Tareas!Q19)</f>
        <v>77.7</v>
      </c>
      <c r="G23" s="49">
        <f t="shared" ca="1" si="2"/>
        <v>7.7700000000000005</v>
      </c>
      <c r="H23" s="48">
        <f>JuegoMesa!N20</f>
        <v>95.618154761904762</v>
      </c>
      <c r="I23" s="49">
        <f t="shared" si="3"/>
        <v>28.685446428571428</v>
      </c>
      <c r="J23" s="48">
        <f ca="1">CELL("contents",Examenes!D19)</f>
        <v>89</v>
      </c>
      <c r="K23" s="48">
        <f ca="1">CELL("contents",Examenes!G19)</f>
        <v>88</v>
      </c>
      <c r="L23" s="48">
        <f ca="1">CELL("contents",Examenes!J19)</f>
        <v>86</v>
      </c>
      <c r="M23" s="49">
        <f t="shared" ca="1" si="4"/>
        <v>26.300000000000004</v>
      </c>
      <c r="N23" s="49">
        <f ca="1">CELL("contents",Retroalimentacion!K18)</f>
        <v>0</v>
      </c>
      <c r="O23" s="4">
        <v>0</v>
      </c>
      <c r="P23" s="50">
        <f t="shared" ca="1" si="5"/>
        <v>88.941446428571425</v>
      </c>
      <c r="Q23" s="51">
        <f t="shared" ca="1" si="6"/>
        <v>90</v>
      </c>
      <c r="R23" s="51" t="str">
        <f t="shared" ca="1" si="7"/>
        <v>APROBADO</v>
      </c>
    </row>
    <row r="24" spans="1:18" x14ac:dyDescent="0.2">
      <c r="A24" s="86" t="s">
        <v>111</v>
      </c>
      <c r="B24" s="48">
        <f ca="1">CELL("contents",AprendizajeColaborativo!G19)</f>
        <v>95.935000000000002</v>
      </c>
      <c r="C24" s="49">
        <f t="shared" ca="1" si="0"/>
        <v>19.187000000000001</v>
      </c>
      <c r="D24" s="48">
        <f ca="1">CELL("contents",Quices!G19)</f>
        <v>75</v>
      </c>
      <c r="E24" s="49">
        <f t="shared" ca="1" si="1"/>
        <v>7.5</v>
      </c>
      <c r="F24" s="48">
        <f ca="1">CELL("contents",Tareas!Q20)</f>
        <v>77.7</v>
      </c>
      <c r="G24" s="49">
        <f t="shared" ca="1" si="2"/>
        <v>7.7700000000000005</v>
      </c>
      <c r="H24" s="48">
        <f>JuegoMesa!N21</f>
        <v>95.343154761904771</v>
      </c>
      <c r="I24" s="49">
        <f t="shared" si="3"/>
        <v>28.602946428571432</v>
      </c>
      <c r="J24" s="48">
        <f ca="1">CELL("contents",Examenes!D20)</f>
        <v>75</v>
      </c>
      <c r="K24" s="48">
        <f ca="1">CELL("contents",Examenes!G20)</f>
        <v>57</v>
      </c>
      <c r="L24" s="48">
        <f ca="1">CELL("contents",Examenes!J20)</f>
        <v>86</v>
      </c>
      <c r="M24" s="49">
        <f t="shared" ca="1" si="4"/>
        <v>21.799999999999997</v>
      </c>
      <c r="N24" s="49">
        <f ca="1">CELL("contents",Retroalimentacion!K19)</f>
        <v>0</v>
      </c>
      <c r="O24" s="4">
        <v>0</v>
      </c>
      <c r="P24" s="50">
        <f t="shared" ca="1" si="5"/>
        <v>84.859946428571433</v>
      </c>
      <c r="Q24" s="51">
        <f t="shared" ca="1" si="6"/>
        <v>85</v>
      </c>
      <c r="R24" s="51" t="str">
        <f t="shared" ca="1" si="7"/>
        <v>APROBADO</v>
      </c>
    </row>
    <row r="25" spans="1:18" x14ac:dyDescent="0.2">
      <c r="A25" s="86" t="s">
        <v>126</v>
      </c>
      <c r="B25" s="48">
        <f ca="1">CELL("contents",AprendizajeColaborativo!G20)</f>
        <v>96.427999999999983</v>
      </c>
      <c r="C25" s="49">
        <f t="shared" ca="1" si="0"/>
        <v>19.285599999999999</v>
      </c>
      <c r="D25" s="48">
        <f ca="1">CELL("contents",Quices!G20)</f>
        <v>80.400000000000006</v>
      </c>
      <c r="E25" s="49">
        <f t="shared" ca="1" si="1"/>
        <v>8.0400000000000009</v>
      </c>
      <c r="F25" s="48">
        <f ca="1">CELL("contents",Tareas!Q21)</f>
        <v>77</v>
      </c>
      <c r="G25" s="49">
        <f t="shared" ca="1" si="2"/>
        <v>7.7</v>
      </c>
      <c r="H25" s="48">
        <f>JuegoMesa!N22</f>
        <v>92.918452380952388</v>
      </c>
      <c r="I25" s="49">
        <f t="shared" si="3"/>
        <v>27.875535714285714</v>
      </c>
      <c r="J25" s="48">
        <f ca="1">CELL("contents",Examenes!D21)</f>
        <v>76</v>
      </c>
      <c r="K25" s="48">
        <f ca="1">CELL("contents",Examenes!G21)</f>
        <v>98</v>
      </c>
      <c r="L25" s="48">
        <f ca="1">CELL("contents",Examenes!J21)</f>
        <v>104</v>
      </c>
      <c r="M25" s="49">
        <f t="shared" ca="1" si="4"/>
        <v>27.800000000000004</v>
      </c>
      <c r="N25" s="49">
        <f ca="1">CELL("contents",Retroalimentacion!K20)</f>
        <v>2</v>
      </c>
      <c r="O25" s="4">
        <v>2</v>
      </c>
      <c r="P25" s="50">
        <f t="shared" ca="1" si="5"/>
        <v>94.701135714285726</v>
      </c>
      <c r="Q25" s="51">
        <f t="shared" ca="1" si="6"/>
        <v>95</v>
      </c>
      <c r="R25" s="51" t="str">
        <f t="shared" ca="1" si="7"/>
        <v>APROBADO</v>
      </c>
    </row>
    <row r="26" spans="1:18" x14ac:dyDescent="0.2">
      <c r="A26" s="86" t="s">
        <v>112</v>
      </c>
      <c r="B26" s="48">
        <f ca="1">CELL("contents",AprendizajeColaborativo!G21)</f>
        <v>95.935000000000002</v>
      </c>
      <c r="C26" s="49">
        <f t="shared" ca="1" si="0"/>
        <v>19.187000000000001</v>
      </c>
      <c r="D26" s="48">
        <f ca="1">CELL("contents",Quices!G21)</f>
        <v>75</v>
      </c>
      <c r="E26" s="49">
        <f t="shared" ca="1" si="1"/>
        <v>7.5</v>
      </c>
      <c r="F26" s="48">
        <f ca="1">CELL("contents",Tareas!Q22)</f>
        <v>77.7</v>
      </c>
      <c r="G26" s="49">
        <f t="shared" ca="1" si="2"/>
        <v>7.7700000000000005</v>
      </c>
      <c r="H26" s="48">
        <f>JuegoMesa!N23</f>
        <v>95.443154761904765</v>
      </c>
      <c r="I26" s="49">
        <f t="shared" si="3"/>
        <v>28.632946428571429</v>
      </c>
      <c r="J26" s="48">
        <f ca="1">CELL("contents",Examenes!D22)</f>
        <v>70</v>
      </c>
      <c r="K26" s="48">
        <f ca="1">CELL("contents",Examenes!G22)</f>
        <v>57</v>
      </c>
      <c r="L26" s="48">
        <f ca="1">CELL("contents",Examenes!J22)</f>
        <v>86</v>
      </c>
      <c r="M26" s="49">
        <f t="shared" ca="1" si="4"/>
        <v>21.299999999999997</v>
      </c>
      <c r="N26" s="49">
        <f ca="1">CELL("contents",Retroalimentacion!K21)</f>
        <v>0</v>
      </c>
      <c r="O26" s="4">
        <v>0</v>
      </c>
      <c r="P26" s="50">
        <f t="shared" ca="1" si="5"/>
        <v>84.38994642857142</v>
      </c>
      <c r="Q26" s="51">
        <f t="shared" ca="1" si="6"/>
        <v>85</v>
      </c>
      <c r="R26" s="51" t="str">
        <f t="shared" ca="1" si="7"/>
        <v>APROBADO</v>
      </c>
    </row>
    <row r="27" spans="1:18" x14ac:dyDescent="0.2">
      <c r="A27" s="86" t="s">
        <v>127</v>
      </c>
      <c r="B27" s="48">
        <f ca="1">CELL("contents",AprendizajeColaborativo!G22)</f>
        <v>87.894000000000005</v>
      </c>
      <c r="C27" s="49">
        <f t="shared" ca="1" si="0"/>
        <v>17.578800000000001</v>
      </c>
      <c r="D27" s="48">
        <f ca="1">CELL("contents",Quices!G22)</f>
        <v>87.2</v>
      </c>
      <c r="E27" s="49">
        <f t="shared" ca="1" si="1"/>
        <v>8.7200000000000006</v>
      </c>
      <c r="F27" s="48">
        <f ca="1">CELL("contents",Tareas!Q23)</f>
        <v>73.7</v>
      </c>
      <c r="G27" s="49">
        <f t="shared" ca="1" si="2"/>
        <v>7.370000000000001</v>
      </c>
      <c r="H27" s="48">
        <f>JuegoMesa!N24</f>
        <v>95.514583333333334</v>
      </c>
      <c r="I27" s="49">
        <f t="shared" si="3"/>
        <v>28.654374999999998</v>
      </c>
      <c r="J27" s="48">
        <f ca="1">CELL("contents",Examenes!D23)</f>
        <v>89</v>
      </c>
      <c r="K27" s="48">
        <f ca="1">CELL("contents",Examenes!G23)</f>
        <v>98</v>
      </c>
      <c r="L27" s="48">
        <f ca="1">CELL("contents",Examenes!J23)</f>
        <v>101</v>
      </c>
      <c r="M27" s="49">
        <f t="shared" ca="1" si="4"/>
        <v>28.800000000000004</v>
      </c>
      <c r="N27" s="49">
        <f ca="1">CELL("contents",Retroalimentacion!K22)</f>
        <v>2</v>
      </c>
      <c r="O27" s="4">
        <f>2+5</f>
        <v>7</v>
      </c>
      <c r="P27" s="50">
        <f t="shared" ca="1" si="5"/>
        <v>100.123175</v>
      </c>
      <c r="Q27" s="51">
        <f t="shared" ca="1" si="6"/>
        <v>100</v>
      </c>
      <c r="R27" s="51" t="str">
        <f t="shared" ca="1" si="7"/>
        <v>APROBADO</v>
      </c>
    </row>
    <row r="28" spans="1:18" x14ac:dyDescent="0.2">
      <c r="A28" s="86" t="s">
        <v>128</v>
      </c>
      <c r="B28" s="48">
        <f ca="1">CELL("contents",AprendizajeColaborativo!G23)</f>
        <v>87.769000000000005</v>
      </c>
      <c r="C28" s="49">
        <f t="shared" ca="1" si="0"/>
        <v>17.553800000000003</v>
      </c>
      <c r="D28" s="48">
        <f ca="1">CELL("contents",Quices!G23)</f>
        <v>87.2</v>
      </c>
      <c r="E28" s="49">
        <f t="shared" ca="1" si="1"/>
        <v>8.7200000000000006</v>
      </c>
      <c r="F28" s="48">
        <f ca="1">CELL("contents",Tareas!Q24)</f>
        <v>73.7</v>
      </c>
      <c r="G28" s="49">
        <f t="shared" ca="1" si="2"/>
        <v>7.370000000000001</v>
      </c>
      <c r="H28" s="48">
        <f>JuegoMesa!N25</f>
        <v>95.064583333333331</v>
      </c>
      <c r="I28" s="49">
        <f t="shared" si="3"/>
        <v>28.519375</v>
      </c>
      <c r="J28" s="48">
        <f ca="1">CELL("contents",Examenes!D24)</f>
        <v>75</v>
      </c>
      <c r="K28" s="48">
        <f ca="1">CELL("contents",Examenes!G24)</f>
        <v>82</v>
      </c>
      <c r="L28" s="48">
        <f ca="1">CELL("contents",Examenes!J24)</f>
        <v>101</v>
      </c>
      <c r="M28" s="49">
        <f t="shared" ca="1" si="4"/>
        <v>25.800000000000004</v>
      </c>
      <c r="N28" s="49">
        <f ca="1">CELL("contents",Retroalimentacion!K23)</f>
        <v>2</v>
      </c>
      <c r="O28" s="4">
        <v>5</v>
      </c>
      <c r="P28" s="50">
        <f t="shared" ca="1" si="5"/>
        <v>94.963175000000007</v>
      </c>
      <c r="Q28" s="51">
        <f t="shared" ca="1" si="6"/>
        <v>95</v>
      </c>
      <c r="R28" s="51" t="str">
        <f t="shared" ca="1" si="7"/>
        <v>APROBADO</v>
      </c>
    </row>
    <row r="29" spans="1:18" x14ac:dyDescent="0.2">
      <c r="A29" s="86" t="s">
        <v>113</v>
      </c>
      <c r="B29" s="48">
        <f ca="1">CELL("contents",AprendizajeColaborativo!G24)</f>
        <v>87.583666666666659</v>
      </c>
      <c r="C29" s="49">
        <f t="shared" ca="1" si="0"/>
        <v>17.516733333333331</v>
      </c>
      <c r="D29" s="48">
        <f ca="1">CELL("contents",Quices!G24)</f>
        <v>70.8</v>
      </c>
      <c r="E29" s="49">
        <f t="shared" ca="1" si="1"/>
        <v>7.08</v>
      </c>
      <c r="F29" s="48">
        <f ca="1">CELL("contents",Tareas!Q25)</f>
        <v>71.783333333333331</v>
      </c>
      <c r="G29" s="49">
        <f t="shared" ca="1" si="2"/>
        <v>7.1783333333333337</v>
      </c>
      <c r="H29" s="48">
        <f>JuegoMesa!N26</f>
        <v>93.641071428571436</v>
      </c>
      <c r="I29" s="49">
        <f t="shared" si="3"/>
        <v>28.092321428571431</v>
      </c>
      <c r="J29" s="48">
        <f ca="1">CELL("contents",Examenes!D25)</f>
        <v>76</v>
      </c>
      <c r="K29" s="48">
        <f ca="1">CELL("contents",Examenes!G25)</f>
        <v>58</v>
      </c>
      <c r="L29" s="48">
        <f ca="1">CELL("contents",Examenes!J25)</f>
        <v>106</v>
      </c>
      <c r="M29" s="49">
        <f t="shared" ca="1" si="4"/>
        <v>24.000000000000004</v>
      </c>
      <c r="N29" s="49">
        <f ca="1">CELL("contents",Retroalimentacion!K24)</f>
        <v>1</v>
      </c>
      <c r="O29" s="4">
        <v>0</v>
      </c>
      <c r="P29" s="50">
        <f t="shared" ca="1" si="5"/>
        <v>84.867388095238098</v>
      </c>
      <c r="Q29" s="51">
        <f t="shared" ca="1" si="6"/>
        <v>85</v>
      </c>
      <c r="R29" s="51" t="str">
        <f t="shared" ca="1" si="7"/>
        <v>APROBADO</v>
      </c>
    </row>
    <row r="30" spans="1:18" x14ac:dyDescent="0.2">
      <c r="A30" s="86" t="s">
        <v>114</v>
      </c>
      <c r="B30" s="48">
        <f ca="1">CELL("contents",AprendizajeColaborativo!G25)</f>
        <v>99.287000000000006</v>
      </c>
      <c r="C30" s="49">
        <f t="shared" ca="1" si="0"/>
        <v>19.857400000000002</v>
      </c>
      <c r="D30" s="48">
        <f ca="1">CELL("contents",Quices!G25)</f>
        <v>86.2</v>
      </c>
      <c r="E30" s="49">
        <f t="shared" ca="1" si="1"/>
        <v>8.620000000000001</v>
      </c>
      <c r="F30" s="48">
        <f ca="1">CELL("contents",Tareas!Q26)</f>
        <v>77.599999999999994</v>
      </c>
      <c r="G30" s="49">
        <f t="shared" ca="1" si="2"/>
        <v>7.76</v>
      </c>
      <c r="H30" s="48">
        <f>JuegoMesa!N27</f>
        <v>94.344791666666666</v>
      </c>
      <c r="I30" s="49">
        <f t="shared" si="3"/>
        <v>28.303437499999998</v>
      </c>
      <c r="J30" s="48">
        <f ca="1">CELL("contents",Examenes!D26)</f>
        <v>89</v>
      </c>
      <c r="K30" s="48">
        <f ca="1">CELL("contents",Examenes!G26)</f>
        <v>88</v>
      </c>
      <c r="L30" s="48">
        <f ca="1">CELL("contents",Examenes!J26)</f>
        <v>101</v>
      </c>
      <c r="M30" s="49">
        <f t="shared" ca="1" si="4"/>
        <v>27.800000000000004</v>
      </c>
      <c r="N30" s="49">
        <f ca="1">CELL("contents",Retroalimentacion!K25)</f>
        <v>2</v>
      </c>
      <c r="O30" s="4">
        <v>2</v>
      </c>
      <c r="P30" s="50">
        <f ca="1">C30+E30+G30+I30+M30+N30+O30</f>
        <v>96.340837499999992</v>
      </c>
      <c r="Q30" s="51">
        <f ca="1">IF(((P30*0.1)-INT(P30*0.1))&gt;=0.25,IF(((P30*0.1)-INT(P30*0.1))&lt;=0.5,CEILING(P30,5),IF(((P30*0.1)-INT(P30*0.1))&gt;=0.75,CEILING(P30,5),FLOOR(P30,5))),FLOOR(P30,5))</f>
        <v>95</v>
      </c>
      <c r="R30" s="51" t="str">
        <f t="shared" ca="1" si="7"/>
        <v>APROBADO</v>
      </c>
    </row>
    <row r="31" spans="1:18" x14ac:dyDescent="0.2">
      <c r="A31" s="86" t="s">
        <v>106</v>
      </c>
      <c r="B31" s="48">
        <f ca="1">CELL("contents",AprendizajeColaborativo!G26)</f>
        <v>95.502999999999986</v>
      </c>
      <c r="C31" s="49">
        <f t="shared" ca="1" si="0"/>
        <v>19.100599999999996</v>
      </c>
      <c r="D31" s="48">
        <f ca="1">CELL("contents",Quices!G26)</f>
        <v>80.400000000000006</v>
      </c>
      <c r="E31" s="49">
        <f t="shared" ref="E31:E32" ca="1" si="8">D31*0.1</f>
        <v>8.0400000000000009</v>
      </c>
      <c r="F31" s="48">
        <f ca="1">CELL("contents",Tareas!Q27)</f>
        <v>77</v>
      </c>
      <c r="G31" s="49">
        <f t="shared" ref="G31:G32" ca="1" si="9">F31*0.1</f>
        <v>7.7</v>
      </c>
      <c r="H31" s="48">
        <f>JuegoMesa!N28</f>
        <v>92.918452380952388</v>
      </c>
      <c r="I31" s="49">
        <f t="shared" ref="I31:I32" si="10">H31*0.3</f>
        <v>27.875535714285714</v>
      </c>
      <c r="J31" s="48">
        <f ca="1">CELL("contents",Examenes!D27)</f>
        <v>71</v>
      </c>
      <c r="K31" s="48">
        <f ca="1">CELL("contents",Examenes!G27)</f>
        <v>95</v>
      </c>
      <c r="L31" s="48">
        <f ca="1">CELL("contents",Examenes!J27)</f>
        <v>104</v>
      </c>
      <c r="M31" s="49">
        <f t="shared" ref="M31:M32" ca="1" si="11">J31*0.1+K31*0.1+L31*0.1</f>
        <v>27</v>
      </c>
      <c r="N31" s="49">
        <f ca="1">CELL("contents",Retroalimentacion!K26)</f>
        <v>0</v>
      </c>
      <c r="O31" s="4">
        <v>0</v>
      </c>
      <c r="P31" s="50">
        <f t="shared" ca="1" si="5"/>
        <v>89.716135714285713</v>
      </c>
      <c r="Q31" s="51">
        <f t="shared" ref="Q31:Q32" ca="1" si="12">IF(((P31*0.1)-INT(P31*0.1))&gt;=0.25,IF(((P31*0.1)-INT(P31*0.1))&lt;=0.5,CEILING(P31,5),IF(((P31*0.1)-INT(P31*0.1))&gt;=0.75,CEILING(P31,5),FLOOR(P31,5))),FLOOR(P31,5))</f>
        <v>90</v>
      </c>
      <c r="R31" s="51" t="str">
        <f t="shared" ref="R31:R32" ca="1" si="13">IF(Q31&gt;=67.5,"APROBADO",IF(Q31&gt;=57.5,"AMPLIACION","REPROBADO"))</f>
        <v>APROBADO</v>
      </c>
    </row>
    <row r="32" spans="1:18" x14ac:dyDescent="0.2">
      <c r="A32" s="86" t="s">
        <v>108</v>
      </c>
      <c r="B32" s="48">
        <f ca="1">CELL("contents",AprendizajeColaborativo!G27)</f>
        <v>88.054500000000004</v>
      </c>
      <c r="C32" s="49">
        <f t="shared" ca="1" si="0"/>
        <v>17.610900000000001</v>
      </c>
      <c r="D32" s="48">
        <f ca="1">CELL("contents",Quices!G27)</f>
        <v>70.8</v>
      </c>
      <c r="E32" s="49">
        <f t="shared" ca="1" si="8"/>
        <v>7.08</v>
      </c>
      <c r="F32" s="48">
        <f ca="1">CELL("contents",Tareas!Q28)</f>
        <v>72.987499999999997</v>
      </c>
      <c r="G32" s="49">
        <f t="shared" ca="1" si="9"/>
        <v>7.2987500000000001</v>
      </c>
      <c r="H32" s="48">
        <f>JuegoMesa!N29</f>
        <v>92.220535714285717</v>
      </c>
      <c r="I32" s="49">
        <f t="shared" si="10"/>
        <v>27.666160714285713</v>
      </c>
      <c r="J32" s="48">
        <f ca="1">CELL("contents",Examenes!D28)</f>
        <v>75</v>
      </c>
      <c r="K32" s="48">
        <f ca="1">CELL("contents",Examenes!G28)</f>
        <v>58</v>
      </c>
      <c r="L32" s="48">
        <f ca="1">CELL("contents",Examenes!J28)</f>
        <v>91</v>
      </c>
      <c r="M32" s="49">
        <f t="shared" ca="1" si="11"/>
        <v>22.4</v>
      </c>
      <c r="N32" s="49">
        <f ca="1">CELL("contents",Retroalimentacion!K27)</f>
        <v>1</v>
      </c>
      <c r="O32" s="4">
        <v>0</v>
      </c>
      <c r="P32" s="50">
        <f t="shared" ca="1" si="5"/>
        <v>83.055810714285712</v>
      </c>
      <c r="Q32" s="51">
        <f t="shared" ca="1" si="12"/>
        <v>85</v>
      </c>
      <c r="R32" s="51" t="str">
        <f t="shared" ca="1" si="13"/>
        <v>APROBADO</v>
      </c>
    </row>
    <row r="33" spans="4:15" x14ac:dyDescent="0.2">
      <c r="J33" s="52">
        <f ca="1">AVERAGE(J9:J32)</f>
        <v>73.041666666666671</v>
      </c>
      <c r="K33" s="52">
        <f ca="1">AVERAGE(K9:K32)</f>
        <v>80.333333333333329</v>
      </c>
      <c r="L33" s="52">
        <f ca="1">AVERAGE(L9:L32)</f>
        <v>91.979166666666671</v>
      </c>
    </row>
    <row r="35" spans="4:15" x14ac:dyDescent="0.2">
      <c r="D35" s="46" t="s">
        <v>15</v>
      </c>
      <c r="E35" s="46" t="s">
        <v>16</v>
      </c>
      <c r="F35" s="46" t="s">
        <v>17</v>
      </c>
      <c r="G35" s="46" t="s">
        <v>18</v>
      </c>
      <c r="H35" s="46" t="s">
        <v>19</v>
      </c>
      <c r="I35" s="46" t="s">
        <v>20</v>
      </c>
      <c r="J35" s="46" t="s">
        <v>21</v>
      </c>
      <c r="K35" s="53" t="s">
        <v>22</v>
      </c>
      <c r="N35" s="54"/>
      <c r="O35" s="54"/>
    </row>
    <row r="36" spans="4:15" x14ac:dyDescent="0.2">
      <c r="D36" s="55" t="s">
        <v>23</v>
      </c>
      <c r="E36" s="56">
        <f ca="1">COUNTIF(J9:J32,"&lt;=50")</f>
        <v>1</v>
      </c>
      <c r="F36" s="56">
        <f ca="1">COUNTIF(J9:J32,"&lt;=60")-E36</f>
        <v>0</v>
      </c>
      <c r="G36" s="56">
        <f ca="1">COUNTIF(J9:J32,"&lt;=70")-SUM(E36:F36)</f>
        <v>5</v>
      </c>
      <c r="H36" s="56">
        <f ca="1">COUNTIF(J9:J32,"&lt;=80")-SUM(E36:G36)</f>
        <v>12</v>
      </c>
      <c r="I36" s="56">
        <f ca="1">COUNTIF(J9:J32,"&lt;=90")-SUM(E36:H36)</f>
        <v>6</v>
      </c>
      <c r="J36" s="56">
        <f ca="1">COUNTIF(J9:J32,"&lt;=150")-SUM(E36:I36)</f>
        <v>0</v>
      </c>
      <c r="K36" s="56">
        <f ca="1">SUM(E36:J36)</f>
        <v>24</v>
      </c>
      <c r="N36" s="54"/>
      <c r="O36" s="54"/>
    </row>
    <row r="37" spans="4:15" x14ac:dyDescent="0.2">
      <c r="D37" s="55" t="s">
        <v>24</v>
      </c>
      <c r="E37" s="56">
        <f ca="1">COUNTIF(K9:K32,"&lt;=50")</f>
        <v>1</v>
      </c>
      <c r="F37" s="56">
        <f ca="1">COUNTIF(K9:K32,"&lt;=60")-E37</f>
        <v>5</v>
      </c>
      <c r="G37" s="56">
        <f ca="1">COUNTIF(K9:K32,"&lt;=70")-SUM(E37:F37)</f>
        <v>0</v>
      </c>
      <c r="H37" s="56">
        <f ca="1">COUNTIF(K9:K32,"&lt;=80")-SUM(E37:G37)</f>
        <v>0</v>
      </c>
      <c r="I37" s="56">
        <f ca="1">COUNTIF(K9:K32,"&lt;=90")-SUM(E37:H37)</f>
        <v>9</v>
      </c>
      <c r="J37" s="56">
        <f ca="1">COUNTIF(K9:K32,"&lt;=150")-SUM(E37:I37)</f>
        <v>9</v>
      </c>
      <c r="K37" s="56">
        <f ca="1">SUM(E37:J37)</f>
        <v>24</v>
      </c>
      <c r="N37" s="54"/>
      <c r="O37" s="54"/>
    </row>
    <row r="38" spans="4:15" x14ac:dyDescent="0.2">
      <c r="D38" s="55" t="s">
        <v>25</v>
      </c>
      <c r="E38" s="56">
        <f ca="1">COUNTIF(L9:L32,"&lt;=50")</f>
        <v>2</v>
      </c>
      <c r="F38" s="56">
        <f ca="1">COUNTIF(L9:L32,"&lt;=60")-E38</f>
        <v>0</v>
      </c>
      <c r="G38" s="56">
        <f ca="1">COUNTIF(L9:L32,"&lt;=70")-SUM(E38:F38)</f>
        <v>0</v>
      </c>
      <c r="H38" s="56">
        <f ca="1">COUNTIF(L9:L32,"&lt;=80")-SUM(E38:G38)</f>
        <v>0</v>
      </c>
      <c r="I38" s="56">
        <f ca="1">COUNTIF(L9:L32,"&lt;=90")-SUM(E38:H38)</f>
        <v>5</v>
      </c>
      <c r="J38" s="56">
        <f ca="1">COUNTIF(L9:L32,"&lt;=150")-SUM(E38:I38)</f>
        <v>17</v>
      </c>
      <c r="K38" s="56">
        <f ca="1">SUM(E38:J38)</f>
        <v>24</v>
      </c>
      <c r="N38" s="54"/>
      <c r="O38" s="54"/>
    </row>
    <row r="40" spans="4:15" x14ac:dyDescent="0.2">
      <c r="D40" s="57" t="s">
        <v>15</v>
      </c>
      <c r="E40" s="57" t="s">
        <v>26</v>
      </c>
      <c r="F40" s="57" t="s">
        <v>27</v>
      </c>
      <c r="G40" s="57" t="s">
        <v>28</v>
      </c>
      <c r="H40" s="57" t="s">
        <v>22</v>
      </c>
    </row>
    <row r="41" spans="4:15" ht="25.5" x14ac:dyDescent="0.2">
      <c r="D41" s="58" t="s">
        <v>29</v>
      </c>
      <c r="E41" s="59">
        <f ca="1">COUNTIF(Q9:Q32,"&lt;57,5")</f>
        <v>0</v>
      </c>
      <c r="F41" s="59">
        <f ca="1">COUNTIF(Q9:Q32,"&lt;67,5")-E41</f>
        <v>0</v>
      </c>
      <c r="G41" s="59">
        <f ca="1">COUNTIF(Q9:Q32,"&gt;=67,5")</f>
        <v>0</v>
      </c>
      <c r="H41" s="59">
        <f ca="1">COUNT(Q9:Q32)</f>
        <v>24</v>
      </c>
    </row>
    <row r="42" spans="4:15" ht="25.5" x14ac:dyDescent="0.2">
      <c r="D42" s="58" t="s">
        <v>30</v>
      </c>
      <c r="E42" s="59">
        <f ca="1">E41*100/$H$41</f>
        <v>0</v>
      </c>
      <c r="F42" s="59">
        <f ca="1">F41*100/$H$41</f>
        <v>0</v>
      </c>
      <c r="G42" s="59">
        <f ca="1">G41*100/$H$41</f>
        <v>0</v>
      </c>
      <c r="H42" s="59">
        <f ca="1">SUM(E42:G42)</f>
        <v>0</v>
      </c>
    </row>
  </sheetData>
  <sheetProtection selectLockedCells="1" selectUnlockedCells="1"/>
  <sortState ref="A9:A32">
    <sortCondition ref="A9:A32"/>
  </sortState>
  <mergeCells count="6">
    <mergeCell ref="A6:R6"/>
    <mergeCell ref="A1:R1"/>
    <mergeCell ref="A2:R2"/>
    <mergeCell ref="A3:R3"/>
    <mergeCell ref="A4:R4"/>
    <mergeCell ref="A5:R5"/>
  </mergeCells>
  <pageMargins left="0.19652777777777777" right="0.19652777777777777" top="0.19652777777777777" bottom="0.19652777777777777" header="0.51180555555555551" footer="0.51180555555555551"/>
  <pageSetup paperSize="5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workbookViewId="0">
      <selection activeCell="H15" sqref="H15"/>
    </sheetView>
  </sheetViews>
  <sheetFormatPr baseColWidth="10" defaultColWidth="11.42578125" defaultRowHeight="12.75" x14ac:dyDescent="0.2"/>
  <cols>
    <col min="1" max="1" width="7.7109375" customWidth="1"/>
    <col min="2" max="16" width="8.7109375" customWidth="1"/>
    <col min="17" max="17" width="15.7109375" customWidth="1"/>
  </cols>
  <sheetData>
    <row r="1" spans="1:19" ht="15.75" x14ac:dyDescent="0.25">
      <c r="A1" s="115" t="s">
        <v>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9" x14ac:dyDescent="0.2">
      <c r="A2" s="1"/>
      <c r="B2" s="15"/>
      <c r="C2" s="15"/>
      <c r="D2" s="1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9" x14ac:dyDescent="0.2">
      <c r="A3" s="121" t="s">
        <v>1</v>
      </c>
      <c r="B3" s="123" t="s">
        <v>58</v>
      </c>
      <c r="C3" s="124"/>
      <c r="D3" s="125"/>
      <c r="E3" s="123" t="s">
        <v>59</v>
      </c>
      <c r="F3" s="124"/>
      <c r="G3" s="125"/>
      <c r="H3" s="123" t="s">
        <v>60</v>
      </c>
      <c r="I3" s="124"/>
      <c r="J3" s="125"/>
      <c r="K3" s="123" t="s">
        <v>61</v>
      </c>
      <c r="L3" s="124"/>
      <c r="M3" s="125"/>
      <c r="N3" s="123" t="s">
        <v>62</v>
      </c>
      <c r="O3" s="124"/>
      <c r="P3" s="125"/>
      <c r="Q3" s="121" t="s">
        <v>63</v>
      </c>
    </row>
    <row r="4" spans="1:19" x14ac:dyDescent="0.2">
      <c r="A4" s="122"/>
      <c r="B4" s="73" t="s">
        <v>88</v>
      </c>
      <c r="C4" s="73" t="s">
        <v>87</v>
      </c>
      <c r="D4" s="73" t="s">
        <v>47</v>
      </c>
      <c r="E4" s="73" t="s">
        <v>88</v>
      </c>
      <c r="F4" s="73" t="s">
        <v>87</v>
      </c>
      <c r="G4" s="73" t="s">
        <v>47</v>
      </c>
      <c r="H4" s="73" t="s">
        <v>88</v>
      </c>
      <c r="I4" s="73" t="s">
        <v>87</v>
      </c>
      <c r="J4" s="73" t="s">
        <v>47</v>
      </c>
      <c r="K4" s="73" t="s">
        <v>88</v>
      </c>
      <c r="L4" s="73" t="s">
        <v>87</v>
      </c>
      <c r="M4" s="73" t="s">
        <v>47</v>
      </c>
      <c r="N4" s="73" t="s">
        <v>88</v>
      </c>
      <c r="O4" s="73" t="s">
        <v>87</v>
      </c>
      <c r="P4" s="73" t="s">
        <v>47</v>
      </c>
      <c r="Q4" s="122"/>
    </row>
    <row r="5" spans="1:19" x14ac:dyDescent="0.2">
      <c r="A5" s="86" t="s">
        <v>115</v>
      </c>
      <c r="B5" s="20">
        <v>100</v>
      </c>
      <c r="C5" s="20">
        <f t="shared" ref="C5:C28" si="0">F32</f>
        <v>100</v>
      </c>
      <c r="D5" s="4">
        <f>AVERAGE(B5:C5)</f>
        <v>100</v>
      </c>
      <c r="E5" s="20">
        <v>93</v>
      </c>
      <c r="F5" s="20">
        <f t="shared" ref="F5:F28" si="1">F59</f>
        <v>100</v>
      </c>
      <c r="G5" s="4">
        <f>AVERAGE(E5:F5)</f>
        <v>96.5</v>
      </c>
      <c r="H5" s="20">
        <v>83</v>
      </c>
      <c r="I5" s="20">
        <f t="shared" ref="I5:I25" si="2">F86</f>
        <v>100</v>
      </c>
      <c r="J5" s="4">
        <f>AVERAGE(H5:I5)</f>
        <v>91.5</v>
      </c>
      <c r="K5" s="20">
        <v>100</v>
      </c>
      <c r="L5" s="20">
        <f t="shared" ref="L5:L28" si="3">F113</f>
        <v>100</v>
      </c>
      <c r="M5" s="4">
        <f>AVERAGE(K5:L5)</f>
        <v>100</v>
      </c>
      <c r="N5" s="20">
        <v>81.25</v>
      </c>
      <c r="O5" s="20">
        <f t="shared" ref="O5:O28" si="4">F140</f>
        <v>100</v>
      </c>
      <c r="P5" s="4">
        <f>AVERAGE(N5:O5)</f>
        <v>90.625</v>
      </c>
      <c r="Q5" s="50">
        <f t="shared" ref="Q5:Q28" si="5">SUM(D5,G5,J5,M5,P57)/5</f>
        <v>77.599999999999994</v>
      </c>
      <c r="S5" s="85">
        <v>2</v>
      </c>
    </row>
    <row r="6" spans="1:19" x14ac:dyDescent="0.2">
      <c r="A6" s="86" t="s">
        <v>116</v>
      </c>
      <c r="B6" s="20">
        <v>95</v>
      </c>
      <c r="C6" s="20">
        <f t="shared" si="0"/>
        <v>100</v>
      </c>
      <c r="D6" s="4">
        <f t="shared" ref="D6:D26" si="6">AVERAGE(B6:C6)</f>
        <v>97.5</v>
      </c>
      <c r="E6" s="20">
        <v>80</v>
      </c>
      <c r="F6" s="20">
        <f t="shared" si="1"/>
        <v>100</v>
      </c>
      <c r="G6" s="4">
        <f t="shared" ref="G6:G26" si="7">AVERAGE(E6:F6)</f>
        <v>90</v>
      </c>
      <c r="H6" s="20">
        <v>95</v>
      </c>
      <c r="I6" s="20">
        <f t="shared" si="2"/>
        <v>93.75</v>
      </c>
      <c r="J6" s="4">
        <f t="shared" ref="J6:J26" si="8">AVERAGE(H6:I6)</f>
        <v>94.375</v>
      </c>
      <c r="K6" s="20">
        <v>100</v>
      </c>
      <c r="L6" s="20">
        <f t="shared" si="3"/>
        <v>98.75</v>
      </c>
      <c r="M6" s="4">
        <f t="shared" ref="M6:M26" si="9">AVERAGE(K6:L6)</f>
        <v>99.375</v>
      </c>
      <c r="N6" s="20">
        <v>68.75</v>
      </c>
      <c r="O6" s="20">
        <f t="shared" si="4"/>
        <v>93.75</v>
      </c>
      <c r="P6" s="4">
        <f t="shared" ref="P6:P26" si="10">AVERAGE(N6:O6)</f>
        <v>81.25</v>
      </c>
      <c r="Q6" s="50">
        <f t="shared" si="5"/>
        <v>76.25</v>
      </c>
      <c r="S6" s="85">
        <v>3</v>
      </c>
    </row>
    <row r="7" spans="1:19" x14ac:dyDescent="0.2">
      <c r="A7" s="86" t="s">
        <v>117</v>
      </c>
      <c r="B7" s="20">
        <v>95</v>
      </c>
      <c r="C7" s="20">
        <f t="shared" si="0"/>
        <v>100</v>
      </c>
      <c r="D7" s="4">
        <f t="shared" si="6"/>
        <v>97.5</v>
      </c>
      <c r="E7" s="20">
        <v>80</v>
      </c>
      <c r="F7" s="20">
        <f t="shared" si="1"/>
        <v>100</v>
      </c>
      <c r="G7" s="4">
        <f t="shared" si="7"/>
        <v>90</v>
      </c>
      <c r="H7" s="20">
        <v>95</v>
      </c>
      <c r="I7" s="20">
        <f t="shared" si="2"/>
        <v>100</v>
      </c>
      <c r="J7" s="4">
        <f t="shared" si="8"/>
        <v>97.5</v>
      </c>
      <c r="K7" s="20">
        <v>100</v>
      </c>
      <c r="L7" s="20">
        <f t="shared" si="3"/>
        <v>100</v>
      </c>
      <c r="M7" s="4">
        <f t="shared" si="9"/>
        <v>100</v>
      </c>
      <c r="N7" s="20">
        <v>68.75</v>
      </c>
      <c r="O7" s="20">
        <f t="shared" si="4"/>
        <v>100</v>
      </c>
      <c r="P7" s="4">
        <f t="shared" si="10"/>
        <v>84.375</v>
      </c>
      <c r="Q7" s="50">
        <f t="shared" si="5"/>
        <v>77</v>
      </c>
      <c r="S7" s="85">
        <v>3</v>
      </c>
    </row>
    <row r="8" spans="1:19" x14ac:dyDescent="0.2">
      <c r="A8" s="86" t="s">
        <v>118</v>
      </c>
      <c r="B8" s="20">
        <v>100</v>
      </c>
      <c r="C8" s="20">
        <f t="shared" si="0"/>
        <v>100</v>
      </c>
      <c r="D8" s="4">
        <f t="shared" si="6"/>
        <v>100</v>
      </c>
      <c r="E8" s="20">
        <v>93</v>
      </c>
      <c r="F8" s="20">
        <f t="shared" si="1"/>
        <v>100</v>
      </c>
      <c r="G8" s="4">
        <f t="shared" si="7"/>
        <v>96.5</v>
      </c>
      <c r="H8" s="20">
        <v>83</v>
      </c>
      <c r="I8" s="20">
        <f t="shared" si="2"/>
        <v>93.75</v>
      </c>
      <c r="J8" s="4">
        <f t="shared" si="8"/>
        <v>88.375</v>
      </c>
      <c r="K8" s="20">
        <v>100</v>
      </c>
      <c r="L8" s="20">
        <f t="shared" si="3"/>
        <v>100</v>
      </c>
      <c r="M8" s="4">
        <f t="shared" si="9"/>
        <v>100</v>
      </c>
      <c r="N8" s="20">
        <v>81.25</v>
      </c>
      <c r="O8" s="20">
        <f t="shared" si="4"/>
        <v>100</v>
      </c>
      <c r="P8" s="4">
        <f t="shared" si="10"/>
        <v>90.625</v>
      </c>
      <c r="Q8" s="50">
        <f t="shared" si="5"/>
        <v>76.974999999999994</v>
      </c>
      <c r="S8" s="85">
        <v>2</v>
      </c>
    </row>
    <row r="9" spans="1:19" x14ac:dyDescent="0.2">
      <c r="A9" s="86" t="s">
        <v>119</v>
      </c>
      <c r="B9" s="20">
        <v>35</v>
      </c>
      <c r="C9" s="20">
        <f t="shared" si="0"/>
        <v>100</v>
      </c>
      <c r="D9" s="4">
        <f t="shared" si="6"/>
        <v>67.5</v>
      </c>
      <c r="E9" s="20">
        <v>93</v>
      </c>
      <c r="F9" s="20">
        <f t="shared" si="1"/>
        <v>100</v>
      </c>
      <c r="G9" s="4">
        <f t="shared" si="7"/>
        <v>96.5</v>
      </c>
      <c r="H9" s="20">
        <v>83</v>
      </c>
      <c r="I9" s="20">
        <f t="shared" si="2"/>
        <v>70</v>
      </c>
      <c r="J9" s="4">
        <f t="shared" si="8"/>
        <v>76.5</v>
      </c>
      <c r="K9" s="20">
        <v>100</v>
      </c>
      <c r="L9" s="20">
        <f t="shared" si="3"/>
        <v>100</v>
      </c>
      <c r="M9" s="4">
        <f t="shared" si="9"/>
        <v>100</v>
      </c>
      <c r="N9" s="20">
        <v>81.25</v>
      </c>
      <c r="O9" s="20">
        <f t="shared" si="4"/>
        <v>100</v>
      </c>
      <c r="P9" s="4">
        <f t="shared" si="10"/>
        <v>90.625</v>
      </c>
      <c r="Q9" s="50">
        <f t="shared" si="5"/>
        <v>68.099999999999994</v>
      </c>
      <c r="S9" s="85">
        <v>2</v>
      </c>
    </row>
    <row r="10" spans="1:19" x14ac:dyDescent="0.2">
      <c r="A10" s="86" t="s">
        <v>107</v>
      </c>
      <c r="B10" s="20">
        <v>94</v>
      </c>
      <c r="C10" s="20">
        <f t="shared" si="0"/>
        <v>100</v>
      </c>
      <c r="D10" s="4">
        <f t="shared" si="6"/>
        <v>97</v>
      </c>
      <c r="E10" s="20">
        <v>88</v>
      </c>
      <c r="F10" s="20">
        <f t="shared" si="1"/>
        <v>100</v>
      </c>
      <c r="G10" s="4">
        <f t="shared" si="7"/>
        <v>94</v>
      </c>
      <c r="H10" s="20">
        <v>95</v>
      </c>
      <c r="I10" s="20">
        <f t="shared" si="2"/>
        <v>100</v>
      </c>
      <c r="J10" s="4">
        <f t="shared" si="8"/>
        <v>97.5</v>
      </c>
      <c r="K10" s="20">
        <v>100</v>
      </c>
      <c r="L10" s="20">
        <f t="shared" si="3"/>
        <v>100</v>
      </c>
      <c r="M10" s="4">
        <f t="shared" si="9"/>
        <v>100</v>
      </c>
      <c r="N10" s="20">
        <v>80.625</v>
      </c>
      <c r="O10" s="20">
        <f t="shared" si="4"/>
        <v>0</v>
      </c>
      <c r="P10" s="4">
        <f t="shared" si="10"/>
        <v>40.3125</v>
      </c>
      <c r="Q10" s="50">
        <f t="shared" si="5"/>
        <v>77.7</v>
      </c>
      <c r="S10" s="85">
        <v>1</v>
      </c>
    </row>
    <row r="11" spans="1:19" x14ac:dyDescent="0.2">
      <c r="A11" s="86" t="s">
        <v>135</v>
      </c>
      <c r="B11" s="20">
        <v>100</v>
      </c>
      <c r="C11" s="20">
        <f t="shared" si="0"/>
        <v>100</v>
      </c>
      <c r="D11" s="4">
        <f t="shared" si="6"/>
        <v>100</v>
      </c>
      <c r="E11" s="20">
        <v>95</v>
      </c>
      <c r="F11" s="20">
        <f t="shared" si="1"/>
        <v>65</v>
      </c>
      <c r="G11" s="4">
        <f t="shared" si="7"/>
        <v>80</v>
      </c>
      <c r="H11" s="20">
        <v>42</v>
      </c>
      <c r="I11" s="20">
        <f t="shared" si="2"/>
        <v>0</v>
      </c>
      <c r="J11" s="4">
        <f t="shared" si="8"/>
        <v>21</v>
      </c>
      <c r="K11" s="20">
        <v>100</v>
      </c>
      <c r="L11" s="20">
        <f t="shared" si="3"/>
        <v>0</v>
      </c>
      <c r="M11" s="4">
        <f t="shared" si="9"/>
        <v>50</v>
      </c>
      <c r="N11" s="20">
        <v>75</v>
      </c>
      <c r="O11" s="20">
        <f t="shared" si="4"/>
        <v>0</v>
      </c>
      <c r="P11" s="4">
        <f t="shared" si="10"/>
        <v>37.5</v>
      </c>
      <c r="Q11" s="50">
        <f t="shared" si="5"/>
        <v>50.2</v>
      </c>
      <c r="S11" s="85">
        <v>4</v>
      </c>
    </row>
    <row r="12" spans="1:19" x14ac:dyDescent="0.2">
      <c r="A12" s="86" t="s">
        <v>120</v>
      </c>
      <c r="B12" s="20">
        <v>94</v>
      </c>
      <c r="C12" s="20">
        <f t="shared" si="0"/>
        <v>100</v>
      </c>
      <c r="D12" s="4">
        <f t="shared" si="6"/>
        <v>97</v>
      </c>
      <c r="E12" s="20">
        <v>88</v>
      </c>
      <c r="F12" s="20">
        <f t="shared" si="1"/>
        <v>100</v>
      </c>
      <c r="G12" s="4">
        <f t="shared" si="7"/>
        <v>94</v>
      </c>
      <c r="H12" s="20">
        <v>95</v>
      </c>
      <c r="I12" s="20">
        <f t="shared" si="2"/>
        <v>100</v>
      </c>
      <c r="J12" s="4">
        <f t="shared" si="8"/>
        <v>97.5</v>
      </c>
      <c r="K12" s="20">
        <v>100</v>
      </c>
      <c r="L12" s="20">
        <f t="shared" si="3"/>
        <v>100</v>
      </c>
      <c r="M12" s="4">
        <f t="shared" si="9"/>
        <v>100</v>
      </c>
      <c r="N12" s="20">
        <v>80.625</v>
      </c>
      <c r="O12" s="20">
        <f t="shared" si="4"/>
        <v>0</v>
      </c>
      <c r="P12" s="4">
        <f t="shared" si="10"/>
        <v>40.3125</v>
      </c>
      <c r="Q12" s="50">
        <f t="shared" si="5"/>
        <v>77.7</v>
      </c>
      <c r="S12" s="85">
        <v>1</v>
      </c>
    </row>
    <row r="13" spans="1:19" x14ac:dyDescent="0.2">
      <c r="A13" s="86" t="s">
        <v>109</v>
      </c>
      <c r="B13" s="20">
        <v>100</v>
      </c>
      <c r="C13" s="20">
        <f t="shared" si="0"/>
        <v>100</v>
      </c>
      <c r="D13" s="4">
        <f t="shared" si="6"/>
        <v>100</v>
      </c>
      <c r="E13" s="20">
        <v>95</v>
      </c>
      <c r="F13" s="20">
        <f t="shared" si="1"/>
        <v>100</v>
      </c>
      <c r="G13" s="4">
        <f t="shared" si="7"/>
        <v>97.5</v>
      </c>
      <c r="H13" s="20">
        <v>42</v>
      </c>
      <c r="I13" s="20">
        <f t="shared" si="2"/>
        <v>65</v>
      </c>
      <c r="J13" s="4">
        <f t="shared" si="8"/>
        <v>53.5</v>
      </c>
      <c r="K13" s="20">
        <v>100</v>
      </c>
      <c r="L13" s="20">
        <f t="shared" si="3"/>
        <v>25</v>
      </c>
      <c r="M13" s="4">
        <f t="shared" si="9"/>
        <v>62.5</v>
      </c>
      <c r="N13" s="20">
        <v>75</v>
      </c>
      <c r="O13" s="20">
        <f t="shared" si="4"/>
        <v>0</v>
      </c>
      <c r="P13" s="4">
        <f t="shared" si="10"/>
        <v>37.5</v>
      </c>
      <c r="Q13" s="50">
        <f t="shared" si="5"/>
        <v>62.7</v>
      </c>
      <c r="S13" s="85">
        <v>4</v>
      </c>
    </row>
    <row r="14" spans="1:19" x14ac:dyDescent="0.2">
      <c r="A14" s="86" t="s">
        <v>121</v>
      </c>
      <c r="B14" s="20">
        <v>100</v>
      </c>
      <c r="C14" s="20">
        <f t="shared" si="0"/>
        <v>100</v>
      </c>
      <c r="D14" s="4">
        <f t="shared" si="6"/>
        <v>100</v>
      </c>
      <c r="E14" s="20">
        <v>95</v>
      </c>
      <c r="F14" s="20">
        <f t="shared" si="1"/>
        <v>100</v>
      </c>
      <c r="G14" s="4">
        <f t="shared" si="7"/>
        <v>97.5</v>
      </c>
      <c r="H14" s="20">
        <v>42</v>
      </c>
      <c r="I14" s="20">
        <f t="shared" si="2"/>
        <v>100</v>
      </c>
      <c r="J14" s="4">
        <f t="shared" si="8"/>
        <v>71</v>
      </c>
      <c r="K14" s="20">
        <v>100</v>
      </c>
      <c r="L14" s="20">
        <f t="shared" si="3"/>
        <v>100</v>
      </c>
      <c r="M14" s="4">
        <f t="shared" si="9"/>
        <v>100</v>
      </c>
      <c r="N14" s="20">
        <v>75</v>
      </c>
      <c r="O14" s="20">
        <f t="shared" si="4"/>
        <v>0</v>
      </c>
      <c r="P14" s="4">
        <f t="shared" si="10"/>
        <v>37.5</v>
      </c>
      <c r="Q14" s="50">
        <f t="shared" si="5"/>
        <v>73.7</v>
      </c>
      <c r="S14" s="85">
        <v>4</v>
      </c>
    </row>
    <row r="15" spans="1:19" x14ac:dyDescent="0.2">
      <c r="A15" s="86" t="s">
        <v>122</v>
      </c>
      <c r="B15" s="20">
        <v>95</v>
      </c>
      <c r="C15" s="20">
        <f t="shared" si="0"/>
        <v>100</v>
      </c>
      <c r="D15" s="4">
        <f t="shared" si="6"/>
        <v>97.5</v>
      </c>
      <c r="E15" s="20">
        <v>80</v>
      </c>
      <c r="F15" s="20">
        <f t="shared" si="1"/>
        <v>100</v>
      </c>
      <c r="G15" s="4">
        <f t="shared" si="7"/>
        <v>90</v>
      </c>
      <c r="H15" s="20">
        <v>95</v>
      </c>
      <c r="I15" s="20">
        <f t="shared" si="2"/>
        <v>100</v>
      </c>
      <c r="J15" s="4">
        <f t="shared" si="8"/>
        <v>97.5</v>
      </c>
      <c r="K15" s="20">
        <v>100</v>
      </c>
      <c r="L15" s="20">
        <f t="shared" si="3"/>
        <v>96.25</v>
      </c>
      <c r="M15" s="4">
        <f t="shared" si="9"/>
        <v>98.125</v>
      </c>
      <c r="N15" s="20">
        <v>68.75</v>
      </c>
      <c r="O15" s="20">
        <f t="shared" si="4"/>
        <v>100</v>
      </c>
      <c r="P15" s="4">
        <f t="shared" si="10"/>
        <v>84.375</v>
      </c>
      <c r="Q15" s="50">
        <f t="shared" si="5"/>
        <v>76.625</v>
      </c>
      <c r="S15" s="85">
        <v>3</v>
      </c>
    </row>
    <row r="16" spans="1:19" x14ac:dyDescent="0.2">
      <c r="A16" s="86" t="s">
        <v>123</v>
      </c>
      <c r="B16" s="20">
        <v>92</v>
      </c>
      <c r="C16" s="20">
        <f t="shared" si="0"/>
        <v>98.25</v>
      </c>
      <c r="D16" s="4">
        <f t="shared" si="6"/>
        <v>95.125</v>
      </c>
      <c r="E16" s="20">
        <v>98</v>
      </c>
      <c r="F16" s="20">
        <f t="shared" si="1"/>
        <v>100</v>
      </c>
      <c r="G16" s="4">
        <f t="shared" si="7"/>
        <v>99</v>
      </c>
      <c r="H16" s="20">
        <v>40</v>
      </c>
      <c r="I16" s="20">
        <f t="shared" si="2"/>
        <v>100</v>
      </c>
      <c r="J16" s="4">
        <f t="shared" si="8"/>
        <v>70</v>
      </c>
      <c r="K16" s="20">
        <v>100</v>
      </c>
      <c r="L16" s="20">
        <f t="shared" si="3"/>
        <v>100</v>
      </c>
      <c r="M16" s="4">
        <f t="shared" si="9"/>
        <v>100</v>
      </c>
      <c r="N16" s="20">
        <v>87.5</v>
      </c>
      <c r="O16" s="20">
        <f t="shared" si="4"/>
        <v>100</v>
      </c>
      <c r="P16" s="4">
        <f t="shared" si="10"/>
        <v>93.75</v>
      </c>
      <c r="Q16" s="50">
        <f t="shared" si="5"/>
        <v>72.825000000000003</v>
      </c>
      <c r="S16" s="85">
        <v>5</v>
      </c>
    </row>
    <row r="17" spans="1:19" x14ac:dyDescent="0.2">
      <c r="A17" s="86" t="s">
        <v>124</v>
      </c>
      <c r="B17" s="20">
        <v>92</v>
      </c>
      <c r="C17" s="20">
        <f t="shared" si="0"/>
        <v>100</v>
      </c>
      <c r="D17" s="4">
        <f t="shared" si="6"/>
        <v>96</v>
      </c>
      <c r="E17" s="20">
        <v>98</v>
      </c>
      <c r="F17" s="20">
        <f t="shared" si="1"/>
        <v>100</v>
      </c>
      <c r="G17" s="4">
        <f t="shared" si="7"/>
        <v>99</v>
      </c>
      <c r="H17" s="20">
        <v>40</v>
      </c>
      <c r="I17" s="20">
        <f t="shared" si="2"/>
        <v>100</v>
      </c>
      <c r="J17" s="4">
        <f t="shared" si="8"/>
        <v>70</v>
      </c>
      <c r="K17" s="20">
        <v>100</v>
      </c>
      <c r="L17" s="20">
        <f t="shared" si="3"/>
        <v>100</v>
      </c>
      <c r="M17" s="4">
        <f t="shared" si="9"/>
        <v>100</v>
      </c>
      <c r="N17" s="20">
        <v>87.5</v>
      </c>
      <c r="O17" s="20">
        <f t="shared" si="4"/>
        <v>100</v>
      </c>
      <c r="P17" s="4">
        <f t="shared" si="10"/>
        <v>93.75</v>
      </c>
      <c r="Q17" s="50">
        <f t="shared" si="5"/>
        <v>73</v>
      </c>
      <c r="S17" s="85">
        <v>5</v>
      </c>
    </row>
    <row r="18" spans="1:19" x14ac:dyDescent="0.2">
      <c r="A18" s="86" t="s">
        <v>110</v>
      </c>
      <c r="B18" s="20">
        <v>100</v>
      </c>
      <c r="C18" s="20">
        <f t="shared" si="0"/>
        <v>100</v>
      </c>
      <c r="D18" s="4">
        <f t="shared" si="6"/>
        <v>100</v>
      </c>
      <c r="E18" s="20">
        <v>93</v>
      </c>
      <c r="F18" s="20">
        <f t="shared" si="1"/>
        <v>100</v>
      </c>
      <c r="G18" s="4">
        <f t="shared" si="7"/>
        <v>96.5</v>
      </c>
      <c r="H18" s="20">
        <v>83</v>
      </c>
      <c r="I18" s="20">
        <f t="shared" si="2"/>
        <v>100</v>
      </c>
      <c r="J18" s="4">
        <f t="shared" si="8"/>
        <v>91.5</v>
      </c>
      <c r="K18" s="20">
        <v>100</v>
      </c>
      <c r="L18" s="20">
        <f t="shared" si="3"/>
        <v>100</v>
      </c>
      <c r="M18" s="4">
        <f t="shared" si="9"/>
        <v>100</v>
      </c>
      <c r="N18" s="20">
        <v>81.25</v>
      </c>
      <c r="O18" s="20">
        <f t="shared" si="4"/>
        <v>100</v>
      </c>
      <c r="P18" s="4">
        <f t="shared" si="10"/>
        <v>90.625</v>
      </c>
      <c r="Q18" s="50">
        <f t="shared" si="5"/>
        <v>77.599999999999994</v>
      </c>
      <c r="S18" s="85">
        <v>2</v>
      </c>
    </row>
    <row r="19" spans="1:19" x14ac:dyDescent="0.2">
      <c r="A19" s="86" t="s">
        <v>125</v>
      </c>
      <c r="B19" s="20">
        <v>94</v>
      </c>
      <c r="C19" s="20">
        <f t="shared" si="0"/>
        <v>100</v>
      </c>
      <c r="D19" s="4">
        <f t="shared" si="6"/>
        <v>97</v>
      </c>
      <c r="E19" s="20">
        <v>88</v>
      </c>
      <c r="F19" s="20">
        <f t="shared" si="1"/>
        <v>100</v>
      </c>
      <c r="G19" s="4">
        <f t="shared" si="7"/>
        <v>94</v>
      </c>
      <c r="H19" s="20">
        <v>95</v>
      </c>
      <c r="I19" s="20">
        <f t="shared" si="2"/>
        <v>100</v>
      </c>
      <c r="J19" s="4">
        <f t="shared" si="8"/>
        <v>97.5</v>
      </c>
      <c r="K19" s="20">
        <v>100</v>
      </c>
      <c r="L19" s="20">
        <f t="shared" si="3"/>
        <v>100</v>
      </c>
      <c r="M19" s="4">
        <f t="shared" si="9"/>
        <v>100</v>
      </c>
      <c r="N19" s="20">
        <v>80.625</v>
      </c>
      <c r="O19" s="20">
        <f t="shared" si="4"/>
        <v>0</v>
      </c>
      <c r="P19" s="4">
        <f t="shared" si="10"/>
        <v>40.3125</v>
      </c>
      <c r="Q19" s="50">
        <f t="shared" si="5"/>
        <v>77.7</v>
      </c>
      <c r="S19" s="85">
        <v>1</v>
      </c>
    </row>
    <row r="20" spans="1:19" x14ac:dyDescent="0.2">
      <c r="A20" s="86" t="s">
        <v>111</v>
      </c>
      <c r="B20" s="20">
        <v>94</v>
      </c>
      <c r="C20" s="20">
        <f t="shared" si="0"/>
        <v>100</v>
      </c>
      <c r="D20" s="4">
        <f t="shared" si="6"/>
        <v>97</v>
      </c>
      <c r="E20" s="20">
        <v>88</v>
      </c>
      <c r="F20" s="20">
        <f t="shared" si="1"/>
        <v>100</v>
      </c>
      <c r="G20" s="4">
        <f t="shared" si="7"/>
        <v>94</v>
      </c>
      <c r="H20" s="20">
        <v>95</v>
      </c>
      <c r="I20" s="20">
        <f t="shared" si="2"/>
        <v>100</v>
      </c>
      <c r="J20" s="4">
        <f t="shared" si="8"/>
        <v>97.5</v>
      </c>
      <c r="K20" s="20">
        <v>100</v>
      </c>
      <c r="L20" s="20">
        <f t="shared" si="3"/>
        <v>100</v>
      </c>
      <c r="M20" s="4">
        <f t="shared" si="9"/>
        <v>100</v>
      </c>
      <c r="N20" s="20">
        <v>80.625</v>
      </c>
      <c r="O20" s="20">
        <f t="shared" si="4"/>
        <v>0</v>
      </c>
      <c r="P20" s="4">
        <f t="shared" si="10"/>
        <v>40.3125</v>
      </c>
      <c r="Q20" s="50">
        <f t="shared" si="5"/>
        <v>77.7</v>
      </c>
      <c r="S20" s="85">
        <v>1</v>
      </c>
    </row>
    <row r="21" spans="1:19" x14ac:dyDescent="0.2">
      <c r="A21" s="86" t="s">
        <v>126</v>
      </c>
      <c r="B21" s="20">
        <v>95</v>
      </c>
      <c r="C21" s="20">
        <f t="shared" si="0"/>
        <v>100</v>
      </c>
      <c r="D21" s="4">
        <f t="shared" si="6"/>
        <v>97.5</v>
      </c>
      <c r="E21" s="20">
        <v>80</v>
      </c>
      <c r="F21" s="20">
        <f t="shared" si="1"/>
        <v>100</v>
      </c>
      <c r="G21" s="4">
        <f t="shared" si="7"/>
        <v>90</v>
      </c>
      <c r="H21" s="20">
        <v>95</v>
      </c>
      <c r="I21" s="20">
        <f t="shared" si="2"/>
        <v>100</v>
      </c>
      <c r="J21" s="4">
        <f t="shared" si="8"/>
        <v>97.5</v>
      </c>
      <c r="K21" s="20">
        <v>100</v>
      </c>
      <c r="L21" s="20">
        <f t="shared" si="3"/>
        <v>100</v>
      </c>
      <c r="M21" s="4">
        <f t="shared" si="9"/>
        <v>100</v>
      </c>
      <c r="N21" s="20">
        <v>68.75</v>
      </c>
      <c r="O21" s="20">
        <f t="shared" si="4"/>
        <v>100</v>
      </c>
      <c r="P21" s="4">
        <f t="shared" si="10"/>
        <v>84.375</v>
      </c>
      <c r="Q21" s="50">
        <f t="shared" si="5"/>
        <v>77</v>
      </c>
      <c r="S21" s="85">
        <v>3</v>
      </c>
    </row>
    <row r="22" spans="1:19" x14ac:dyDescent="0.2">
      <c r="A22" s="86" t="s">
        <v>112</v>
      </c>
      <c r="B22" s="20">
        <v>94</v>
      </c>
      <c r="C22" s="20">
        <f t="shared" si="0"/>
        <v>100</v>
      </c>
      <c r="D22" s="4">
        <f t="shared" si="6"/>
        <v>97</v>
      </c>
      <c r="E22" s="20">
        <v>88</v>
      </c>
      <c r="F22" s="20">
        <f t="shared" si="1"/>
        <v>100</v>
      </c>
      <c r="G22" s="4">
        <f t="shared" si="7"/>
        <v>94</v>
      </c>
      <c r="H22" s="20">
        <v>95</v>
      </c>
      <c r="I22" s="20">
        <f t="shared" si="2"/>
        <v>100</v>
      </c>
      <c r="J22" s="4">
        <f t="shared" si="8"/>
        <v>97.5</v>
      </c>
      <c r="K22" s="20">
        <v>100</v>
      </c>
      <c r="L22" s="20">
        <f t="shared" si="3"/>
        <v>100</v>
      </c>
      <c r="M22" s="4">
        <f t="shared" si="9"/>
        <v>100</v>
      </c>
      <c r="N22" s="20">
        <v>80.625</v>
      </c>
      <c r="O22" s="20">
        <f t="shared" si="4"/>
        <v>0</v>
      </c>
      <c r="P22" s="4">
        <f t="shared" si="10"/>
        <v>40.3125</v>
      </c>
      <c r="Q22" s="50">
        <f t="shared" si="5"/>
        <v>77.7</v>
      </c>
      <c r="S22" s="85">
        <v>1</v>
      </c>
    </row>
    <row r="23" spans="1:19" x14ac:dyDescent="0.2">
      <c r="A23" s="86" t="s">
        <v>127</v>
      </c>
      <c r="B23" s="20">
        <v>100</v>
      </c>
      <c r="C23" s="20">
        <f t="shared" si="0"/>
        <v>100</v>
      </c>
      <c r="D23" s="4">
        <f t="shared" si="6"/>
        <v>100</v>
      </c>
      <c r="E23" s="20">
        <v>95</v>
      </c>
      <c r="F23" s="20">
        <f t="shared" si="1"/>
        <v>100</v>
      </c>
      <c r="G23" s="4">
        <f t="shared" si="7"/>
        <v>97.5</v>
      </c>
      <c r="H23" s="20">
        <v>42</v>
      </c>
      <c r="I23" s="20">
        <f t="shared" si="2"/>
        <v>100</v>
      </c>
      <c r="J23" s="4">
        <f t="shared" si="8"/>
        <v>71</v>
      </c>
      <c r="K23" s="20">
        <v>100</v>
      </c>
      <c r="L23" s="20">
        <f t="shared" si="3"/>
        <v>100</v>
      </c>
      <c r="M23" s="4">
        <f t="shared" si="9"/>
        <v>100</v>
      </c>
      <c r="N23" s="20">
        <v>75</v>
      </c>
      <c r="O23" s="20">
        <f t="shared" si="4"/>
        <v>0</v>
      </c>
      <c r="P23" s="4">
        <f t="shared" si="10"/>
        <v>37.5</v>
      </c>
      <c r="Q23" s="50">
        <f t="shared" si="5"/>
        <v>73.7</v>
      </c>
      <c r="S23" s="85">
        <v>4</v>
      </c>
    </row>
    <row r="24" spans="1:19" x14ac:dyDescent="0.2">
      <c r="A24" s="86" t="s">
        <v>128</v>
      </c>
      <c r="B24" s="20">
        <v>100</v>
      </c>
      <c r="C24" s="20">
        <f t="shared" si="0"/>
        <v>100</v>
      </c>
      <c r="D24" s="4">
        <f t="shared" si="6"/>
        <v>100</v>
      </c>
      <c r="E24" s="20">
        <v>95</v>
      </c>
      <c r="F24" s="20">
        <f t="shared" si="1"/>
        <v>100</v>
      </c>
      <c r="G24" s="4">
        <f t="shared" si="7"/>
        <v>97.5</v>
      </c>
      <c r="H24" s="20">
        <v>42</v>
      </c>
      <c r="I24" s="20">
        <f t="shared" si="2"/>
        <v>100</v>
      </c>
      <c r="J24" s="4">
        <f t="shared" si="8"/>
        <v>71</v>
      </c>
      <c r="K24" s="20">
        <v>100</v>
      </c>
      <c r="L24" s="20">
        <f t="shared" si="3"/>
        <v>100</v>
      </c>
      <c r="M24" s="4">
        <f t="shared" si="9"/>
        <v>100</v>
      </c>
      <c r="N24" s="20">
        <v>75</v>
      </c>
      <c r="O24" s="20">
        <f t="shared" si="4"/>
        <v>0</v>
      </c>
      <c r="P24" s="4">
        <f t="shared" si="10"/>
        <v>37.5</v>
      </c>
      <c r="Q24" s="50">
        <f t="shared" si="5"/>
        <v>73.7</v>
      </c>
      <c r="S24" s="85">
        <v>4</v>
      </c>
    </row>
    <row r="25" spans="1:19" x14ac:dyDescent="0.2">
      <c r="A25" s="86" t="s">
        <v>113</v>
      </c>
      <c r="B25" s="20">
        <v>92</v>
      </c>
      <c r="C25" s="20">
        <f t="shared" si="0"/>
        <v>87.833333333333343</v>
      </c>
      <c r="D25" s="4">
        <f t="shared" si="6"/>
        <v>89.916666666666671</v>
      </c>
      <c r="E25" s="20">
        <v>98</v>
      </c>
      <c r="F25" s="20">
        <f t="shared" si="1"/>
        <v>100</v>
      </c>
      <c r="G25" s="4">
        <f t="shared" si="7"/>
        <v>99</v>
      </c>
      <c r="H25" s="20">
        <v>40</v>
      </c>
      <c r="I25" s="20">
        <f t="shared" si="2"/>
        <v>100</v>
      </c>
      <c r="J25" s="4">
        <f t="shared" si="8"/>
        <v>70</v>
      </c>
      <c r="K25" s="20">
        <v>100</v>
      </c>
      <c r="L25" s="20">
        <f t="shared" si="3"/>
        <v>100</v>
      </c>
      <c r="M25" s="4">
        <f t="shared" si="9"/>
        <v>100</v>
      </c>
      <c r="N25" s="20">
        <v>87.5</v>
      </c>
      <c r="O25" s="20">
        <f t="shared" si="4"/>
        <v>100</v>
      </c>
      <c r="P25" s="4">
        <f t="shared" si="10"/>
        <v>93.75</v>
      </c>
      <c r="Q25" s="50">
        <f t="shared" si="5"/>
        <v>71.783333333333331</v>
      </c>
      <c r="S25" s="85">
        <v>5</v>
      </c>
    </row>
    <row r="26" spans="1:19" x14ac:dyDescent="0.2">
      <c r="A26" s="86" t="s">
        <v>114</v>
      </c>
      <c r="B26" s="20">
        <v>100</v>
      </c>
      <c r="C26" s="20">
        <f t="shared" si="0"/>
        <v>100</v>
      </c>
      <c r="D26" s="4">
        <f t="shared" si="6"/>
        <v>100</v>
      </c>
      <c r="E26" s="20">
        <v>93</v>
      </c>
      <c r="F26" s="20">
        <f t="shared" si="1"/>
        <v>100</v>
      </c>
      <c r="G26" s="4">
        <f t="shared" si="7"/>
        <v>96.5</v>
      </c>
      <c r="H26" s="20">
        <v>83</v>
      </c>
      <c r="I26" s="20">
        <f>F108</f>
        <v>100</v>
      </c>
      <c r="J26" s="4">
        <f t="shared" si="8"/>
        <v>91.5</v>
      </c>
      <c r="K26" s="20">
        <v>100</v>
      </c>
      <c r="L26" s="20">
        <f t="shared" si="3"/>
        <v>100</v>
      </c>
      <c r="M26" s="4">
        <f t="shared" si="9"/>
        <v>100</v>
      </c>
      <c r="N26" s="20">
        <v>81.25</v>
      </c>
      <c r="O26" s="20">
        <f t="shared" si="4"/>
        <v>100</v>
      </c>
      <c r="P26" s="4">
        <f t="shared" si="10"/>
        <v>90.625</v>
      </c>
      <c r="Q26" s="50">
        <f t="shared" si="5"/>
        <v>77.599999999999994</v>
      </c>
      <c r="S26" s="85">
        <v>2</v>
      </c>
    </row>
    <row r="27" spans="1:19" x14ac:dyDescent="0.2">
      <c r="A27" s="86" t="s">
        <v>106</v>
      </c>
      <c r="B27" s="20">
        <v>95</v>
      </c>
      <c r="C27" s="20">
        <f t="shared" si="0"/>
        <v>100</v>
      </c>
      <c r="D27" s="4">
        <f t="shared" ref="D27:D28" si="11">AVERAGE(B27:C27)</f>
        <v>97.5</v>
      </c>
      <c r="E27" s="20">
        <v>80</v>
      </c>
      <c r="F27" s="20">
        <f t="shared" si="1"/>
        <v>100</v>
      </c>
      <c r="G27" s="4">
        <f t="shared" ref="G27:G28" si="12">AVERAGE(E27:F27)</f>
        <v>90</v>
      </c>
      <c r="H27" s="20">
        <v>95</v>
      </c>
      <c r="I27" s="20">
        <f>F108</f>
        <v>100</v>
      </c>
      <c r="J27" s="4">
        <f t="shared" ref="J27:J28" si="13">AVERAGE(H27:I27)</f>
        <v>97.5</v>
      </c>
      <c r="K27" s="20">
        <v>100</v>
      </c>
      <c r="L27" s="20">
        <f t="shared" si="3"/>
        <v>100</v>
      </c>
      <c r="M27" s="4">
        <f t="shared" ref="M27:M28" si="14">AVERAGE(K27:L27)</f>
        <v>100</v>
      </c>
      <c r="N27" s="20">
        <v>68.75</v>
      </c>
      <c r="O27" s="20">
        <f t="shared" si="4"/>
        <v>100</v>
      </c>
      <c r="P27" s="4">
        <f t="shared" ref="P27:P28" si="15">AVERAGE(N27:O27)</f>
        <v>84.375</v>
      </c>
      <c r="Q27" s="50">
        <f t="shared" si="5"/>
        <v>77</v>
      </c>
      <c r="S27" s="85">
        <v>3</v>
      </c>
    </row>
    <row r="28" spans="1:19" x14ac:dyDescent="0.2">
      <c r="A28" s="86" t="s">
        <v>108</v>
      </c>
      <c r="B28" s="20">
        <v>92</v>
      </c>
      <c r="C28" s="20">
        <f t="shared" si="0"/>
        <v>99.875</v>
      </c>
      <c r="D28" s="4">
        <f t="shared" si="11"/>
        <v>95.9375</v>
      </c>
      <c r="E28" s="20">
        <v>98</v>
      </c>
      <c r="F28" s="20">
        <f t="shared" si="1"/>
        <v>100</v>
      </c>
      <c r="G28" s="4">
        <f t="shared" si="12"/>
        <v>99</v>
      </c>
      <c r="H28" s="20">
        <v>40</v>
      </c>
      <c r="I28" s="20">
        <f>F109</f>
        <v>100</v>
      </c>
      <c r="J28" s="4">
        <f t="shared" si="13"/>
        <v>70</v>
      </c>
      <c r="K28" s="20">
        <v>100</v>
      </c>
      <c r="L28" s="20">
        <f t="shared" si="3"/>
        <v>100</v>
      </c>
      <c r="M28" s="4">
        <f t="shared" si="14"/>
        <v>100</v>
      </c>
      <c r="N28" s="20">
        <v>87.5</v>
      </c>
      <c r="O28" s="20">
        <f t="shared" si="4"/>
        <v>100</v>
      </c>
      <c r="P28" s="4">
        <f t="shared" si="15"/>
        <v>93.75</v>
      </c>
      <c r="Q28" s="50">
        <f t="shared" si="5"/>
        <v>72.987499999999997</v>
      </c>
      <c r="S28" s="85">
        <v>5</v>
      </c>
    </row>
    <row r="29" spans="1:19" x14ac:dyDescent="0.2">
      <c r="S29" s="85"/>
    </row>
    <row r="30" spans="1:19" x14ac:dyDescent="0.2">
      <c r="A30" s="8"/>
      <c r="B30" s="119" t="s">
        <v>129</v>
      </c>
      <c r="C30" s="119"/>
      <c r="D30" s="119"/>
      <c r="E30" s="119"/>
      <c r="F30" s="119"/>
      <c r="G30" s="74"/>
      <c r="H30" s="74"/>
      <c r="I30" s="74"/>
      <c r="J30" s="74"/>
      <c r="K30" s="74"/>
      <c r="L30" s="74"/>
      <c r="M30" s="74"/>
      <c r="N30" s="74"/>
      <c r="O30" s="72"/>
      <c r="P30" s="72"/>
      <c r="Q30" s="8"/>
      <c r="R30" s="8"/>
    </row>
    <row r="31" spans="1:19" x14ac:dyDescent="0.2">
      <c r="A31" s="8"/>
      <c r="B31" s="22" t="s">
        <v>45</v>
      </c>
      <c r="C31" s="22" t="s">
        <v>46</v>
      </c>
      <c r="D31" s="22" t="s">
        <v>78</v>
      </c>
      <c r="E31" s="23" t="s">
        <v>79</v>
      </c>
      <c r="F31" s="23" t="s">
        <v>47</v>
      </c>
      <c r="G31" s="8"/>
      <c r="H31" s="8"/>
      <c r="Q31" s="8"/>
      <c r="R31" s="8"/>
    </row>
    <row r="32" spans="1:19" x14ac:dyDescent="0.2">
      <c r="A32" s="86" t="s">
        <v>115</v>
      </c>
      <c r="B32" s="20">
        <v>100</v>
      </c>
      <c r="C32" s="20">
        <v>100</v>
      </c>
      <c r="D32" s="20">
        <v>100</v>
      </c>
      <c r="E32" s="20">
        <v>100</v>
      </c>
      <c r="F32" s="25">
        <f>AVERAGE(B32:E32)</f>
        <v>100</v>
      </c>
      <c r="G32" s="8"/>
      <c r="H32" s="85">
        <v>2</v>
      </c>
      <c r="Q32" s="8"/>
    </row>
    <row r="33" spans="1:17" x14ac:dyDescent="0.2">
      <c r="A33" s="86" t="s">
        <v>116</v>
      </c>
      <c r="B33" s="20">
        <v>100</v>
      </c>
      <c r="C33" s="20">
        <v>100</v>
      </c>
      <c r="D33" s="20">
        <v>100</v>
      </c>
      <c r="E33" s="20">
        <v>100</v>
      </c>
      <c r="F33" s="25">
        <f t="shared" ref="F33:F53" si="16">AVERAGE(B33:E33)</f>
        <v>100</v>
      </c>
      <c r="G33" s="8"/>
      <c r="H33" s="85">
        <v>3</v>
      </c>
      <c r="Q33" s="8"/>
    </row>
    <row r="34" spans="1:17" x14ac:dyDescent="0.2">
      <c r="A34" s="86" t="s">
        <v>117</v>
      </c>
      <c r="B34" s="20">
        <v>100</v>
      </c>
      <c r="C34" s="20">
        <v>100</v>
      </c>
      <c r="D34" s="20">
        <v>100</v>
      </c>
      <c r="E34" s="20">
        <v>100</v>
      </c>
      <c r="F34" s="25">
        <f t="shared" si="16"/>
        <v>100</v>
      </c>
      <c r="G34" s="8"/>
      <c r="H34" s="85">
        <v>3</v>
      </c>
      <c r="Q34" s="8"/>
    </row>
    <row r="35" spans="1:17" x14ac:dyDescent="0.2">
      <c r="A35" s="86" t="s">
        <v>118</v>
      </c>
      <c r="B35" s="20">
        <v>100</v>
      </c>
      <c r="C35" s="20">
        <v>100</v>
      </c>
      <c r="D35" s="20">
        <v>100</v>
      </c>
      <c r="E35" s="20">
        <v>100</v>
      </c>
      <c r="F35" s="25">
        <f t="shared" si="16"/>
        <v>100</v>
      </c>
      <c r="G35" s="8"/>
      <c r="H35" s="85">
        <v>2</v>
      </c>
      <c r="Q35" s="8"/>
    </row>
    <row r="36" spans="1:17" x14ac:dyDescent="0.2">
      <c r="A36" s="86" t="s">
        <v>119</v>
      </c>
      <c r="B36" s="20">
        <v>100</v>
      </c>
      <c r="C36" s="20">
        <v>100</v>
      </c>
      <c r="D36" s="20">
        <v>100</v>
      </c>
      <c r="E36" s="20">
        <v>100</v>
      </c>
      <c r="F36" s="25">
        <f t="shared" si="16"/>
        <v>100</v>
      </c>
      <c r="G36" s="8"/>
      <c r="H36" s="85">
        <v>2</v>
      </c>
      <c r="Q36" s="8"/>
    </row>
    <row r="37" spans="1:17" x14ac:dyDescent="0.2">
      <c r="A37" s="86" t="s">
        <v>107</v>
      </c>
      <c r="B37" s="20">
        <v>100</v>
      </c>
      <c r="C37" s="20">
        <v>100</v>
      </c>
      <c r="D37" s="20">
        <v>100</v>
      </c>
      <c r="E37" s="20">
        <v>100</v>
      </c>
      <c r="F37" s="25">
        <f t="shared" si="16"/>
        <v>100</v>
      </c>
      <c r="G37" s="8"/>
      <c r="H37" s="85">
        <v>1</v>
      </c>
      <c r="Q37" s="8"/>
    </row>
    <row r="38" spans="1:17" x14ac:dyDescent="0.2">
      <c r="A38" s="86" t="s">
        <v>135</v>
      </c>
      <c r="B38" s="20">
        <v>100</v>
      </c>
      <c r="C38" s="20">
        <v>100</v>
      </c>
      <c r="D38" s="20">
        <v>100</v>
      </c>
      <c r="E38" s="20">
        <v>100</v>
      </c>
      <c r="F38" s="25">
        <f t="shared" si="16"/>
        <v>100</v>
      </c>
      <c r="G38" s="8"/>
      <c r="H38" s="85">
        <v>4</v>
      </c>
      <c r="Q38" s="8"/>
    </row>
    <row r="39" spans="1:17" x14ac:dyDescent="0.2">
      <c r="A39" s="86" t="s">
        <v>120</v>
      </c>
      <c r="B39" s="20">
        <v>100</v>
      </c>
      <c r="C39" s="20">
        <v>100</v>
      </c>
      <c r="D39" s="20">
        <v>100</v>
      </c>
      <c r="E39" s="20">
        <v>100</v>
      </c>
      <c r="F39" s="25">
        <f t="shared" si="16"/>
        <v>100</v>
      </c>
      <c r="G39" s="8"/>
      <c r="H39" s="85">
        <v>1</v>
      </c>
      <c r="Q39" s="8"/>
    </row>
    <row r="40" spans="1:17" x14ac:dyDescent="0.2">
      <c r="A40" s="86" t="s">
        <v>109</v>
      </c>
      <c r="B40" s="20">
        <v>100</v>
      </c>
      <c r="C40" s="20">
        <v>100</v>
      </c>
      <c r="D40" s="20">
        <v>100</v>
      </c>
      <c r="E40" s="20">
        <v>100</v>
      </c>
      <c r="F40" s="25">
        <f t="shared" si="16"/>
        <v>100</v>
      </c>
      <c r="G40" s="8"/>
      <c r="H40" s="85">
        <v>4</v>
      </c>
      <c r="Q40" s="8"/>
    </row>
    <row r="41" spans="1:17" x14ac:dyDescent="0.2">
      <c r="A41" s="86" t="s">
        <v>121</v>
      </c>
      <c r="B41" s="20">
        <v>100</v>
      </c>
      <c r="C41" s="20">
        <v>100</v>
      </c>
      <c r="D41" s="20">
        <v>100</v>
      </c>
      <c r="E41" s="20">
        <v>100</v>
      </c>
      <c r="F41" s="25">
        <f t="shared" si="16"/>
        <v>100</v>
      </c>
      <c r="G41" s="8"/>
      <c r="H41" s="85">
        <v>4</v>
      </c>
      <c r="Q41" s="8"/>
    </row>
    <row r="42" spans="1:17" x14ac:dyDescent="0.2">
      <c r="A42" s="86" t="s">
        <v>122</v>
      </c>
      <c r="B42" s="20">
        <v>100</v>
      </c>
      <c r="C42" s="20">
        <v>100</v>
      </c>
      <c r="D42" s="20">
        <v>100</v>
      </c>
      <c r="E42" s="20">
        <v>100</v>
      </c>
      <c r="F42" s="25">
        <f t="shared" si="16"/>
        <v>100</v>
      </c>
      <c r="G42" s="8"/>
      <c r="H42" s="85">
        <v>3</v>
      </c>
      <c r="Q42" s="8"/>
    </row>
    <row r="43" spans="1:17" x14ac:dyDescent="0.2">
      <c r="A43" s="86" t="s">
        <v>123</v>
      </c>
      <c r="B43" s="20">
        <v>100</v>
      </c>
      <c r="C43" s="20">
        <v>100</v>
      </c>
      <c r="D43" s="20">
        <v>100</v>
      </c>
      <c r="E43" s="20">
        <f>18.6/20*100</f>
        <v>93</v>
      </c>
      <c r="F43" s="25">
        <f t="shared" si="16"/>
        <v>98.25</v>
      </c>
      <c r="G43" s="8"/>
      <c r="H43" s="85">
        <v>5</v>
      </c>
      <c r="Q43" s="8"/>
    </row>
    <row r="44" spans="1:17" x14ac:dyDescent="0.2">
      <c r="A44" s="86" t="s">
        <v>124</v>
      </c>
      <c r="B44" s="20">
        <v>100</v>
      </c>
      <c r="C44" s="20">
        <v>100</v>
      </c>
      <c r="D44" s="20">
        <v>100</v>
      </c>
      <c r="E44" s="20">
        <v>100</v>
      </c>
      <c r="F44" s="25">
        <f t="shared" si="16"/>
        <v>100</v>
      </c>
      <c r="G44" s="8"/>
      <c r="H44" s="85">
        <v>5</v>
      </c>
      <c r="Q44" s="8"/>
    </row>
    <row r="45" spans="1:17" x14ac:dyDescent="0.2">
      <c r="A45" s="86" t="s">
        <v>110</v>
      </c>
      <c r="B45" s="20">
        <v>100</v>
      </c>
      <c r="C45" s="20">
        <v>100</v>
      </c>
      <c r="D45" s="20">
        <v>100</v>
      </c>
      <c r="E45" s="20">
        <v>100</v>
      </c>
      <c r="F45" s="25">
        <f t="shared" si="16"/>
        <v>100</v>
      </c>
      <c r="G45" s="8"/>
      <c r="H45" s="85">
        <v>2</v>
      </c>
      <c r="Q45" s="8"/>
    </row>
    <row r="46" spans="1:17" x14ac:dyDescent="0.2">
      <c r="A46" s="86" t="s">
        <v>125</v>
      </c>
      <c r="B46" s="20">
        <v>100</v>
      </c>
      <c r="C46" s="20">
        <v>100</v>
      </c>
      <c r="D46" s="20">
        <v>100</v>
      </c>
      <c r="E46" s="20">
        <v>100</v>
      </c>
      <c r="F46" s="25">
        <f t="shared" si="16"/>
        <v>100</v>
      </c>
      <c r="G46" s="8"/>
      <c r="H46" s="85">
        <v>1</v>
      </c>
      <c r="Q46" s="8"/>
    </row>
    <row r="47" spans="1:17" x14ac:dyDescent="0.2">
      <c r="A47" s="86" t="s">
        <v>111</v>
      </c>
      <c r="B47" s="20">
        <v>100</v>
      </c>
      <c r="C47" s="20">
        <v>100</v>
      </c>
      <c r="D47" s="20">
        <v>100</v>
      </c>
      <c r="E47" s="20">
        <v>100</v>
      </c>
      <c r="F47" s="25">
        <f t="shared" si="16"/>
        <v>100</v>
      </c>
      <c r="G47" s="8"/>
      <c r="H47" s="85">
        <v>1</v>
      </c>
      <c r="Q47" s="8"/>
    </row>
    <row r="48" spans="1:17" x14ac:dyDescent="0.2">
      <c r="A48" s="86" t="s">
        <v>126</v>
      </c>
      <c r="B48" s="20">
        <v>100</v>
      </c>
      <c r="C48" s="20">
        <v>100</v>
      </c>
      <c r="D48" s="20">
        <v>100</v>
      </c>
      <c r="E48" s="20">
        <v>100</v>
      </c>
      <c r="F48" s="25">
        <f t="shared" si="16"/>
        <v>100</v>
      </c>
      <c r="G48" s="8"/>
      <c r="H48" s="85">
        <v>3</v>
      </c>
      <c r="Q48" s="8"/>
    </row>
    <row r="49" spans="1:17" x14ac:dyDescent="0.2">
      <c r="A49" s="86" t="s">
        <v>112</v>
      </c>
      <c r="B49" s="20">
        <v>100</v>
      </c>
      <c r="C49" s="20">
        <v>100</v>
      </c>
      <c r="D49" s="20">
        <v>100</v>
      </c>
      <c r="E49" s="20">
        <v>100</v>
      </c>
      <c r="F49" s="25">
        <f t="shared" si="16"/>
        <v>100</v>
      </c>
      <c r="G49" s="8"/>
      <c r="H49" s="85">
        <v>1</v>
      </c>
      <c r="Q49" s="8"/>
    </row>
    <row r="50" spans="1:17" x14ac:dyDescent="0.2">
      <c r="A50" s="86" t="s">
        <v>127</v>
      </c>
      <c r="B50" s="20">
        <v>100</v>
      </c>
      <c r="C50" s="20">
        <v>100</v>
      </c>
      <c r="D50" s="20">
        <v>100</v>
      </c>
      <c r="E50" s="20">
        <v>100</v>
      </c>
      <c r="F50" s="25">
        <f t="shared" si="16"/>
        <v>100</v>
      </c>
      <c r="G50" s="8"/>
      <c r="H50" s="85">
        <v>4</v>
      </c>
      <c r="Q50" s="8"/>
    </row>
    <row r="51" spans="1:17" x14ac:dyDescent="0.2">
      <c r="A51" s="86" t="s">
        <v>128</v>
      </c>
      <c r="B51" s="20">
        <v>100</v>
      </c>
      <c r="C51" s="20">
        <v>100</v>
      </c>
      <c r="D51" s="20">
        <v>100</v>
      </c>
      <c r="E51" s="20">
        <v>100</v>
      </c>
      <c r="F51" s="25">
        <f t="shared" si="16"/>
        <v>100</v>
      </c>
      <c r="G51" s="8"/>
      <c r="H51" s="85">
        <v>4</v>
      </c>
      <c r="Q51" s="8"/>
    </row>
    <row r="52" spans="1:17" x14ac:dyDescent="0.2">
      <c r="A52" s="86" t="s">
        <v>113</v>
      </c>
      <c r="B52" s="20">
        <v>100</v>
      </c>
      <c r="C52" s="20">
        <v>100</v>
      </c>
      <c r="D52" s="20">
        <f>16/30*100</f>
        <v>53.333333333333336</v>
      </c>
      <c r="E52" s="20">
        <f>19.6/20*100</f>
        <v>98.000000000000014</v>
      </c>
      <c r="F52" s="25">
        <f t="shared" si="16"/>
        <v>87.833333333333343</v>
      </c>
      <c r="G52" s="8"/>
      <c r="H52" s="85">
        <v>5</v>
      </c>
      <c r="Q52" s="8"/>
    </row>
    <row r="53" spans="1:17" x14ac:dyDescent="0.2">
      <c r="A53" s="86" t="s">
        <v>114</v>
      </c>
      <c r="B53" s="20">
        <v>100</v>
      </c>
      <c r="C53" s="20">
        <v>100</v>
      </c>
      <c r="D53" s="20">
        <v>100</v>
      </c>
      <c r="E53" s="20">
        <v>100</v>
      </c>
      <c r="F53" s="25">
        <f t="shared" si="16"/>
        <v>100</v>
      </c>
      <c r="G53" s="8"/>
      <c r="H53" s="85">
        <v>2</v>
      </c>
      <c r="Q53" s="8"/>
    </row>
    <row r="54" spans="1:17" x14ac:dyDescent="0.2">
      <c r="A54" s="86" t="s">
        <v>106</v>
      </c>
      <c r="B54" s="20">
        <v>100</v>
      </c>
      <c r="C54" s="20">
        <v>100</v>
      </c>
      <c r="D54" s="20">
        <v>100</v>
      </c>
      <c r="E54" s="20">
        <v>100</v>
      </c>
      <c r="F54" s="25">
        <f t="shared" ref="F54:F55" si="17">AVERAGE(B54:E54)</f>
        <v>100</v>
      </c>
      <c r="G54" s="8"/>
      <c r="H54" s="85">
        <v>3</v>
      </c>
      <c r="Q54" s="8"/>
    </row>
    <row r="55" spans="1:17" x14ac:dyDescent="0.2">
      <c r="A55" s="86" t="s">
        <v>108</v>
      </c>
      <c r="B55" s="20">
        <v>100</v>
      </c>
      <c r="C55" s="20">
        <v>100</v>
      </c>
      <c r="D55" s="20">
        <v>100</v>
      </c>
      <c r="E55" s="20">
        <f>19.9/20*100</f>
        <v>99.499999999999986</v>
      </c>
      <c r="F55" s="25">
        <f t="shared" si="17"/>
        <v>99.875</v>
      </c>
      <c r="G55" s="8"/>
      <c r="H55" s="85">
        <v>5</v>
      </c>
      <c r="Q55" s="8"/>
    </row>
    <row r="56" spans="1:17" x14ac:dyDescent="0.2">
      <c r="H56" s="85"/>
    </row>
    <row r="57" spans="1:17" x14ac:dyDescent="0.2">
      <c r="A57" s="8"/>
      <c r="B57" s="119" t="s">
        <v>130</v>
      </c>
      <c r="C57" s="119"/>
      <c r="D57" s="119"/>
      <c r="E57" s="119"/>
      <c r="F57" s="119"/>
      <c r="G57" s="74"/>
      <c r="H57" s="74"/>
    </row>
    <row r="58" spans="1:17" x14ac:dyDescent="0.2">
      <c r="A58" s="8"/>
      <c r="B58" s="22" t="s">
        <v>45</v>
      </c>
      <c r="C58" s="22" t="s">
        <v>46</v>
      </c>
      <c r="D58" s="22" t="s">
        <v>78</v>
      </c>
      <c r="E58" s="23" t="s">
        <v>79</v>
      </c>
      <c r="F58" s="23" t="s">
        <v>47</v>
      </c>
      <c r="G58" s="8"/>
      <c r="H58" s="8"/>
    </row>
    <row r="59" spans="1:17" x14ac:dyDescent="0.2">
      <c r="A59" s="86" t="s">
        <v>115</v>
      </c>
      <c r="B59" s="20">
        <v>100</v>
      </c>
      <c r="C59" s="20">
        <v>100</v>
      </c>
      <c r="D59" s="20">
        <v>100</v>
      </c>
      <c r="E59" s="20">
        <v>100</v>
      </c>
      <c r="F59" s="25">
        <f>AVERAGE(B59:E59)</f>
        <v>100</v>
      </c>
      <c r="G59" s="8"/>
      <c r="H59" s="85">
        <v>2</v>
      </c>
    </row>
    <row r="60" spans="1:17" x14ac:dyDescent="0.2">
      <c r="A60" s="86" t="s">
        <v>116</v>
      </c>
      <c r="B60" s="20">
        <v>100</v>
      </c>
      <c r="C60" s="20">
        <v>100</v>
      </c>
      <c r="D60" s="20">
        <v>100</v>
      </c>
      <c r="E60" s="20">
        <v>100</v>
      </c>
      <c r="F60" s="25">
        <f t="shared" ref="F60:F80" si="18">AVERAGE(B60:E60)</f>
        <v>100</v>
      </c>
      <c r="G60" s="8"/>
      <c r="H60" s="85">
        <v>3</v>
      </c>
    </row>
    <row r="61" spans="1:17" x14ac:dyDescent="0.2">
      <c r="A61" s="86" t="s">
        <v>117</v>
      </c>
      <c r="B61" s="20">
        <v>100</v>
      </c>
      <c r="C61" s="20">
        <v>100</v>
      </c>
      <c r="D61" s="20">
        <v>100</v>
      </c>
      <c r="E61" s="20">
        <v>100</v>
      </c>
      <c r="F61" s="25">
        <f t="shared" si="18"/>
        <v>100</v>
      </c>
      <c r="G61" s="8"/>
      <c r="H61" s="85">
        <v>3</v>
      </c>
    </row>
    <row r="62" spans="1:17" x14ac:dyDescent="0.2">
      <c r="A62" s="86" t="s">
        <v>118</v>
      </c>
      <c r="B62" s="20">
        <v>100</v>
      </c>
      <c r="C62" s="20">
        <v>100</v>
      </c>
      <c r="D62" s="20">
        <v>100</v>
      </c>
      <c r="E62" s="20">
        <v>100</v>
      </c>
      <c r="F62" s="25">
        <f t="shared" si="18"/>
        <v>100</v>
      </c>
      <c r="G62" s="8"/>
      <c r="H62" s="85">
        <v>2</v>
      </c>
    </row>
    <row r="63" spans="1:17" x14ac:dyDescent="0.2">
      <c r="A63" s="86" t="s">
        <v>119</v>
      </c>
      <c r="B63" s="20">
        <v>100</v>
      </c>
      <c r="C63" s="20">
        <v>100</v>
      </c>
      <c r="D63" s="20">
        <v>100</v>
      </c>
      <c r="E63" s="20">
        <v>100</v>
      </c>
      <c r="F63" s="25">
        <f t="shared" si="18"/>
        <v>100</v>
      </c>
      <c r="G63" s="8"/>
      <c r="H63" s="85">
        <v>2</v>
      </c>
    </row>
    <row r="64" spans="1:17" x14ac:dyDescent="0.2">
      <c r="A64" s="86" t="s">
        <v>107</v>
      </c>
      <c r="B64" s="20">
        <v>100</v>
      </c>
      <c r="C64" s="20">
        <v>100</v>
      </c>
      <c r="D64" s="20">
        <v>100</v>
      </c>
      <c r="E64" s="20">
        <v>100</v>
      </c>
      <c r="F64" s="25">
        <f t="shared" si="18"/>
        <v>100</v>
      </c>
      <c r="G64" s="8"/>
      <c r="H64" s="85">
        <v>1</v>
      </c>
    </row>
    <row r="65" spans="1:8" x14ac:dyDescent="0.2">
      <c r="A65" s="86" t="s">
        <v>135</v>
      </c>
      <c r="B65" s="20">
        <f>13/20*100</f>
        <v>65</v>
      </c>
      <c r="C65" s="20">
        <f>13/20*100</f>
        <v>65</v>
      </c>
      <c r="D65" s="20">
        <f>13/20*100</f>
        <v>65</v>
      </c>
      <c r="E65" s="20">
        <f>13/20*100</f>
        <v>65</v>
      </c>
      <c r="F65" s="25">
        <f t="shared" si="18"/>
        <v>65</v>
      </c>
      <c r="G65" s="8"/>
      <c r="H65" s="85">
        <v>4</v>
      </c>
    </row>
    <row r="66" spans="1:8" x14ac:dyDescent="0.2">
      <c r="A66" s="86" t="s">
        <v>120</v>
      </c>
      <c r="B66" s="20">
        <v>100</v>
      </c>
      <c r="C66" s="20">
        <v>100</v>
      </c>
      <c r="D66" s="20">
        <v>100</v>
      </c>
      <c r="E66" s="20">
        <v>100</v>
      </c>
      <c r="F66" s="25">
        <f t="shared" si="18"/>
        <v>100</v>
      </c>
      <c r="G66" s="8"/>
      <c r="H66" s="85">
        <v>1</v>
      </c>
    </row>
    <row r="67" spans="1:8" x14ac:dyDescent="0.2">
      <c r="A67" s="86" t="s">
        <v>109</v>
      </c>
      <c r="B67" s="20">
        <v>100</v>
      </c>
      <c r="C67" s="20">
        <v>100</v>
      </c>
      <c r="D67" s="20">
        <v>100</v>
      </c>
      <c r="E67" s="20">
        <v>100</v>
      </c>
      <c r="F67" s="25">
        <f t="shared" si="18"/>
        <v>100</v>
      </c>
      <c r="G67" s="8"/>
      <c r="H67" s="85">
        <v>4</v>
      </c>
    </row>
    <row r="68" spans="1:8" x14ac:dyDescent="0.2">
      <c r="A68" s="86" t="s">
        <v>121</v>
      </c>
      <c r="B68" s="20">
        <v>100</v>
      </c>
      <c r="C68" s="20">
        <v>100</v>
      </c>
      <c r="D68" s="20">
        <v>100</v>
      </c>
      <c r="E68" s="20">
        <v>100</v>
      </c>
      <c r="F68" s="25">
        <f t="shared" si="18"/>
        <v>100</v>
      </c>
      <c r="G68" s="8"/>
      <c r="H68" s="85">
        <v>4</v>
      </c>
    </row>
    <row r="69" spans="1:8" x14ac:dyDescent="0.2">
      <c r="A69" s="86" t="s">
        <v>122</v>
      </c>
      <c r="B69" s="20">
        <v>100</v>
      </c>
      <c r="C69" s="20">
        <v>100</v>
      </c>
      <c r="D69" s="20">
        <v>100</v>
      </c>
      <c r="E69" s="20">
        <v>100</v>
      </c>
      <c r="F69" s="25">
        <f t="shared" si="18"/>
        <v>100</v>
      </c>
      <c r="G69" s="8"/>
      <c r="H69" s="85">
        <v>3</v>
      </c>
    </row>
    <row r="70" spans="1:8" x14ac:dyDescent="0.2">
      <c r="A70" s="86" t="s">
        <v>123</v>
      </c>
      <c r="B70" s="20">
        <v>100</v>
      </c>
      <c r="C70" s="20">
        <v>100</v>
      </c>
      <c r="D70" s="20">
        <v>100</v>
      </c>
      <c r="E70" s="20">
        <v>100</v>
      </c>
      <c r="F70" s="25">
        <f t="shared" si="18"/>
        <v>100</v>
      </c>
      <c r="G70" s="8"/>
      <c r="H70" s="85">
        <v>5</v>
      </c>
    </row>
    <row r="71" spans="1:8" x14ac:dyDescent="0.2">
      <c r="A71" s="86" t="s">
        <v>124</v>
      </c>
      <c r="B71" s="20">
        <v>100</v>
      </c>
      <c r="C71" s="20">
        <v>100</v>
      </c>
      <c r="D71" s="20">
        <v>100</v>
      </c>
      <c r="E71" s="20">
        <v>100</v>
      </c>
      <c r="F71" s="25">
        <f t="shared" si="18"/>
        <v>100</v>
      </c>
      <c r="G71" s="8"/>
      <c r="H71" s="85">
        <v>5</v>
      </c>
    </row>
    <row r="72" spans="1:8" x14ac:dyDescent="0.2">
      <c r="A72" s="86" t="s">
        <v>110</v>
      </c>
      <c r="B72" s="20">
        <v>100</v>
      </c>
      <c r="C72" s="20">
        <v>100</v>
      </c>
      <c r="D72" s="20">
        <v>100</v>
      </c>
      <c r="E72" s="20">
        <v>100</v>
      </c>
      <c r="F72" s="25">
        <f t="shared" si="18"/>
        <v>100</v>
      </c>
      <c r="G72" s="8"/>
      <c r="H72" s="85">
        <v>2</v>
      </c>
    </row>
    <row r="73" spans="1:8" x14ac:dyDescent="0.2">
      <c r="A73" s="86" t="s">
        <v>125</v>
      </c>
      <c r="B73" s="20">
        <v>100</v>
      </c>
      <c r="C73" s="20">
        <v>100</v>
      </c>
      <c r="D73" s="20">
        <v>100</v>
      </c>
      <c r="E73" s="20">
        <v>100</v>
      </c>
      <c r="F73" s="25">
        <f t="shared" si="18"/>
        <v>100</v>
      </c>
      <c r="G73" s="8"/>
      <c r="H73" s="85">
        <v>1</v>
      </c>
    </row>
    <row r="74" spans="1:8" x14ac:dyDescent="0.2">
      <c r="A74" s="86" t="s">
        <v>111</v>
      </c>
      <c r="B74" s="20">
        <v>100</v>
      </c>
      <c r="C74" s="20">
        <v>100</v>
      </c>
      <c r="D74" s="20">
        <v>100</v>
      </c>
      <c r="E74" s="20">
        <v>100</v>
      </c>
      <c r="F74" s="25">
        <f t="shared" si="18"/>
        <v>100</v>
      </c>
      <c r="G74" s="8"/>
      <c r="H74" s="85">
        <v>1</v>
      </c>
    </row>
    <row r="75" spans="1:8" x14ac:dyDescent="0.2">
      <c r="A75" s="86" t="s">
        <v>126</v>
      </c>
      <c r="B75" s="20">
        <v>100</v>
      </c>
      <c r="C75" s="20">
        <v>100</v>
      </c>
      <c r="D75" s="20">
        <v>100</v>
      </c>
      <c r="E75" s="20">
        <v>100</v>
      </c>
      <c r="F75" s="25">
        <f t="shared" si="18"/>
        <v>100</v>
      </c>
      <c r="G75" s="8"/>
      <c r="H75" s="85">
        <v>3</v>
      </c>
    </row>
    <row r="76" spans="1:8" x14ac:dyDescent="0.2">
      <c r="A76" s="86" t="s">
        <v>112</v>
      </c>
      <c r="B76" s="20">
        <v>100</v>
      </c>
      <c r="C76" s="20">
        <v>100</v>
      </c>
      <c r="D76" s="20">
        <v>100</v>
      </c>
      <c r="E76" s="20">
        <v>100</v>
      </c>
      <c r="F76" s="25">
        <f t="shared" si="18"/>
        <v>100</v>
      </c>
      <c r="G76" s="8"/>
      <c r="H76" s="85">
        <v>1</v>
      </c>
    </row>
    <row r="77" spans="1:8" x14ac:dyDescent="0.2">
      <c r="A77" s="86" t="s">
        <v>127</v>
      </c>
      <c r="B77" s="20">
        <v>100</v>
      </c>
      <c r="C77" s="20">
        <v>100</v>
      </c>
      <c r="D77" s="20">
        <v>100</v>
      </c>
      <c r="E77" s="20">
        <v>100</v>
      </c>
      <c r="F77" s="25">
        <f t="shared" si="18"/>
        <v>100</v>
      </c>
      <c r="G77" s="8"/>
      <c r="H77" s="85">
        <v>4</v>
      </c>
    </row>
    <row r="78" spans="1:8" x14ac:dyDescent="0.2">
      <c r="A78" s="86" t="s">
        <v>128</v>
      </c>
      <c r="B78" s="20">
        <v>100</v>
      </c>
      <c r="C78" s="20">
        <v>100</v>
      </c>
      <c r="D78" s="20">
        <v>100</v>
      </c>
      <c r="E78" s="20">
        <v>100</v>
      </c>
      <c r="F78" s="25">
        <f t="shared" si="18"/>
        <v>100</v>
      </c>
      <c r="G78" s="8"/>
      <c r="H78" s="85">
        <v>4</v>
      </c>
    </row>
    <row r="79" spans="1:8" x14ac:dyDescent="0.2">
      <c r="A79" s="86" t="s">
        <v>113</v>
      </c>
      <c r="B79" s="20">
        <v>100</v>
      </c>
      <c r="C79" s="20">
        <v>100</v>
      </c>
      <c r="D79" s="20">
        <v>100</v>
      </c>
      <c r="E79" s="20">
        <v>100</v>
      </c>
      <c r="F79" s="25">
        <f t="shared" si="18"/>
        <v>100</v>
      </c>
      <c r="G79" s="8"/>
      <c r="H79" s="85">
        <v>5</v>
      </c>
    </row>
    <row r="80" spans="1:8" x14ac:dyDescent="0.2">
      <c r="A80" s="86" t="s">
        <v>114</v>
      </c>
      <c r="B80" s="20">
        <v>100</v>
      </c>
      <c r="C80" s="20">
        <v>100</v>
      </c>
      <c r="D80" s="20">
        <v>100</v>
      </c>
      <c r="E80" s="20">
        <v>100</v>
      </c>
      <c r="F80" s="25">
        <f t="shared" si="18"/>
        <v>100</v>
      </c>
      <c r="G80" s="8"/>
      <c r="H80" s="85">
        <v>2</v>
      </c>
    </row>
    <row r="81" spans="1:8" x14ac:dyDescent="0.2">
      <c r="A81" s="86" t="s">
        <v>106</v>
      </c>
      <c r="B81" s="20">
        <v>100</v>
      </c>
      <c r="C81" s="20">
        <v>100</v>
      </c>
      <c r="D81" s="20">
        <v>100</v>
      </c>
      <c r="E81" s="20">
        <v>100</v>
      </c>
      <c r="F81" s="25">
        <f t="shared" ref="F81:F82" si="19">AVERAGE(B81:E81)</f>
        <v>100</v>
      </c>
      <c r="G81" s="8"/>
      <c r="H81" s="85">
        <v>3</v>
      </c>
    </row>
    <row r="82" spans="1:8" x14ac:dyDescent="0.2">
      <c r="A82" s="86" t="s">
        <v>108</v>
      </c>
      <c r="B82" s="20">
        <v>100</v>
      </c>
      <c r="C82" s="20">
        <v>100</v>
      </c>
      <c r="D82" s="20">
        <v>100</v>
      </c>
      <c r="E82" s="20">
        <v>100</v>
      </c>
      <c r="F82" s="25">
        <f t="shared" si="19"/>
        <v>100</v>
      </c>
      <c r="G82" s="8"/>
      <c r="H82" s="85">
        <v>5</v>
      </c>
    </row>
    <row r="83" spans="1:8" x14ac:dyDescent="0.2">
      <c r="H83" s="85"/>
    </row>
    <row r="84" spans="1:8" x14ac:dyDescent="0.2">
      <c r="A84" s="8"/>
      <c r="B84" s="119" t="s">
        <v>133</v>
      </c>
      <c r="C84" s="119"/>
      <c r="D84" s="119"/>
      <c r="E84" s="119"/>
      <c r="F84" s="119"/>
      <c r="G84" s="74"/>
      <c r="H84" s="74"/>
    </row>
    <row r="85" spans="1:8" x14ac:dyDescent="0.2">
      <c r="A85" s="8"/>
      <c r="B85" s="22" t="s">
        <v>45</v>
      </c>
      <c r="C85" s="22" t="s">
        <v>46</v>
      </c>
      <c r="D85" s="22" t="s">
        <v>78</v>
      </c>
      <c r="E85" s="23" t="s">
        <v>79</v>
      </c>
      <c r="F85" s="23" t="s">
        <v>47</v>
      </c>
      <c r="G85" s="8"/>
      <c r="H85" s="8"/>
    </row>
    <row r="86" spans="1:8" x14ac:dyDescent="0.2">
      <c r="A86" s="86" t="s">
        <v>115</v>
      </c>
      <c r="B86" s="20">
        <v>100</v>
      </c>
      <c r="C86" s="20">
        <v>100</v>
      </c>
      <c r="D86" s="20">
        <v>100</v>
      </c>
      <c r="E86" s="20">
        <v>100</v>
      </c>
      <c r="F86" s="25">
        <f>AVERAGE(B86:E86)</f>
        <v>100</v>
      </c>
      <c r="G86" s="8"/>
      <c r="H86" s="85">
        <v>2</v>
      </c>
    </row>
    <row r="87" spans="1:8" x14ac:dyDescent="0.2">
      <c r="A87" s="86" t="s">
        <v>116</v>
      </c>
      <c r="B87" s="20">
        <v>100</v>
      </c>
      <c r="C87" s="20">
        <v>100</v>
      </c>
      <c r="D87" s="20">
        <f>17/20*100</f>
        <v>85</v>
      </c>
      <c r="E87" s="20">
        <f>18/20*100</f>
        <v>90</v>
      </c>
      <c r="F87" s="25">
        <f t="shared" ref="F87:F106" si="20">AVERAGE(B87:E87)</f>
        <v>93.75</v>
      </c>
      <c r="G87" s="8"/>
      <c r="H87" s="85">
        <v>3</v>
      </c>
    </row>
    <row r="88" spans="1:8" x14ac:dyDescent="0.2">
      <c r="A88" s="86" t="s">
        <v>117</v>
      </c>
      <c r="B88" s="20">
        <v>100</v>
      </c>
      <c r="C88" s="20">
        <v>100</v>
      </c>
      <c r="D88" s="20">
        <v>100</v>
      </c>
      <c r="E88" s="20">
        <v>100</v>
      </c>
      <c r="F88" s="25">
        <f t="shared" si="20"/>
        <v>100</v>
      </c>
      <c r="G88" s="8"/>
      <c r="H88" s="85">
        <v>3</v>
      </c>
    </row>
    <row r="89" spans="1:8" x14ac:dyDescent="0.2">
      <c r="A89" s="86" t="s">
        <v>118</v>
      </c>
      <c r="B89" s="20">
        <v>100</v>
      </c>
      <c r="C89" s="20">
        <v>100</v>
      </c>
      <c r="D89" s="20">
        <v>100</v>
      </c>
      <c r="E89" s="20">
        <f>15/20*100</f>
        <v>75</v>
      </c>
      <c r="F89" s="25">
        <f t="shared" si="20"/>
        <v>93.75</v>
      </c>
      <c r="G89" s="8"/>
      <c r="H89" s="85">
        <v>2</v>
      </c>
    </row>
    <row r="90" spans="1:8" x14ac:dyDescent="0.2">
      <c r="A90" s="86" t="s">
        <v>119</v>
      </c>
      <c r="B90" s="20">
        <f>13/20*100</f>
        <v>65</v>
      </c>
      <c r="C90" s="20">
        <v>100</v>
      </c>
      <c r="D90" s="20">
        <f>12/20*100</f>
        <v>60</v>
      </c>
      <c r="E90" s="20">
        <f>11/20*100</f>
        <v>55.000000000000007</v>
      </c>
      <c r="F90" s="25">
        <f t="shared" si="20"/>
        <v>70</v>
      </c>
      <c r="G90" s="8"/>
      <c r="H90" s="85">
        <v>2</v>
      </c>
    </row>
    <row r="91" spans="1:8" x14ac:dyDescent="0.2">
      <c r="A91" s="86" t="s">
        <v>107</v>
      </c>
      <c r="B91" s="20">
        <v>100</v>
      </c>
      <c r="C91" s="20">
        <v>100</v>
      </c>
      <c r="D91" s="20">
        <v>100</v>
      </c>
      <c r="E91" s="20">
        <v>100</v>
      </c>
      <c r="F91" s="25">
        <f t="shared" si="20"/>
        <v>100</v>
      </c>
      <c r="G91" s="8"/>
      <c r="H91" s="85">
        <v>1</v>
      </c>
    </row>
    <row r="92" spans="1:8" x14ac:dyDescent="0.2">
      <c r="A92" s="86" t="s">
        <v>135</v>
      </c>
      <c r="B92" s="20">
        <v>0</v>
      </c>
      <c r="C92" s="20">
        <v>0</v>
      </c>
      <c r="D92" s="20">
        <v>0</v>
      </c>
      <c r="E92" s="20">
        <v>0</v>
      </c>
      <c r="F92" s="25">
        <f t="shared" si="20"/>
        <v>0</v>
      </c>
      <c r="G92" s="8"/>
      <c r="H92" s="85">
        <v>4</v>
      </c>
    </row>
    <row r="93" spans="1:8" x14ac:dyDescent="0.2">
      <c r="A93" s="86" t="s">
        <v>120</v>
      </c>
      <c r="B93" s="20">
        <v>100</v>
      </c>
      <c r="C93" s="20">
        <v>100</v>
      </c>
      <c r="D93" s="20">
        <v>100</v>
      </c>
      <c r="E93" s="20">
        <v>100</v>
      </c>
      <c r="F93" s="25">
        <f t="shared" si="20"/>
        <v>100</v>
      </c>
      <c r="G93" s="8"/>
      <c r="H93" s="85">
        <v>1</v>
      </c>
    </row>
    <row r="94" spans="1:8" x14ac:dyDescent="0.2">
      <c r="A94" s="86" t="s">
        <v>109</v>
      </c>
      <c r="B94" s="20">
        <f>13/20*100</f>
        <v>65</v>
      </c>
      <c r="C94" s="20">
        <f>13/20*100</f>
        <v>65</v>
      </c>
      <c r="D94" s="20">
        <f>13/20*100</f>
        <v>65</v>
      </c>
      <c r="E94" s="20">
        <f>13/20*100</f>
        <v>65</v>
      </c>
      <c r="F94" s="25">
        <f t="shared" si="20"/>
        <v>65</v>
      </c>
      <c r="G94" s="8"/>
      <c r="H94" s="85">
        <v>4</v>
      </c>
    </row>
    <row r="95" spans="1:8" x14ac:dyDescent="0.2">
      <c r="A95" s="86" t="s">
        <v>121</v>
      </c>
      <c r="B95" s="20">
        <v>100</v>
      </c>
      <c r="C95" s="20">
        <v>100</v>
      </c>
      <c r="D95" s="20">
        <v>100</v>
      </c>
      <c r="E95" s="20">
        <v>100</v>
      </c>
      <c r="F95" s="25">
        <f t="shared" si="20"/>
        <v>100</v>
      </c>
      <c r="G95" s="8"/>
      <c r="H95" s="85">
        <v>4</v>
      </c>
    </row>
    <row r="96" spans="1:8" x14ac:dyDescent="0.2">
      <c r="A96" s="86" t="s">
        <v>122</v>
      </c>
      <c r="B96" s="20">
        <v>100</v>
      </c>
      <c r="C96" s="20">
        <v>100</v>
      </c>
      <c r="D96" s="20">
        <v>100</v>
      </c>
      <c r="E96" s="20">
        <v>100</v>
      </c>
      <c r="F96" s="25">
        <f t="shared" si="20"/>
        <v>100</v>
      </c>
      <c r="G96" s="8"/>
      <c r="H96" s="85">
        <v>3</v>
      </c>
    </row>
    <row r="97" spans="1:8" x14ac:dyDescent="0.2">
      <c r="A97" s="86" t="s">
        <v>123</v>
      </c>
      <c r="B97" s="20">
        <v>100</v>
      </c>
      <c r="C97" s="20">
        <v>100</v>
      </c>
      <c r="D97" s="20">
        <v>100</v>
      </c>
      <c r="E97" s="20">
        <v>100</v>
      </c>
      <c r="F97" s="25">
        <f t="shared" si="20"/>
        <v>100</v>
      </c>
      <c r="G97" s="8"/>
      <c r="H97" s="85">
        <v>5</v>
      </c>
    </row>
    <row r="98" spans="1:8" x14ac:dyDescent="0.2">
      <c r="A98" s="86" t="s">
        <v>124</v>
      </c>
      <c r="B98" s="20">
        <v>100</v>
      </c>
      <c r="C98" s="20">
        <v>100</v>
      </c>
      <c r="D98" s="20">
        <v>100</v>
      </c>
      <c r="E98" s="20">
        <v>100</v>
      </c>
      <c r="F98" s="25">
        <f t="shared" si="20"/>
        <v>100</v>
      </c>
      <c r="G98" s="8"/>
      <c r="H98" s="85">
        <v>5</v>
      </c>
    </row>
    <row r="99" spans="1:8" x14ac:dyDescent="0.2">
      <c r="A99" s="86" t="s">
        <v>110</v>
      </c>
      <c r="B99" s="20">
        <v>100</v>
      </c>
      <c r="C99" s="20">
        <v>100</v>
      </c>
      <c r="D99" s="20">
        <v>100</v>
      </c>
      <c r="E99" s="20">
        <v>100</v>
      </c>
      <c r="F99" s="25">
        <f t="shared" si="20"/>
        <v>100</v>
      </c>
      <c r="G99" s="8"/>
      <c r="H99" s="85">
        <v>2</v>
      </c>
    </row>
    <row r="100" spans="1:8" x14ac:dyDescent="0.2">
      <c r="A100" s="86" t="s">
        <v>125</v>
      </c>
      <c r="B100" s="20">
        <v>100</v>
      </c>
      <c r="C100" s="20">
        <v>100</v>
      </c>
      <c r="D100" s="20">
        <v>100</v>
      </c>
      <c r="E100" s="20">
        <v>100</v>
      </c>
      <c r="F100" s="25">
        <f t="shared" si="20"/>
        <v>100</v>
      </c>
      <c r="G100" s="8"/>
      <c r="H100" s="85">
        <v>1</v>
      </c>
    </row>
    <row r="101" spans="1:8" x14ac:dyDescent="0.2">
      <c r="A101" s="86" t="s">
        <v>111</v>
      </c>
      <c r="B101" s="20">
        <v>100</v>
      </c>
      <c r="C101" s="20">
        <v>100</v>
      </c>
      <c r="D101" s="20">
        <v>100</v>
      </c>
      <c r="E101" s="20">
        <v>100</v>
      </c>
      <c r="F101" s="25">
        <f t="shared" si="20"/>
        <v>100</v>
      </c>
      <c r="G101" s="8"/>
      <c r="H101" s="85">
        <v>1</v>
      </c>
    </row>
    <row r="102" spans="1:8" x14ac:dyDescent="0.2">
      <c r="A102" s="86" t="s">
        <v>126</v>
      </c>
      <c r="B102" s="20">
        <v>100</v>
      </c>
      <c r="C102" s="20">
        <v>100</v>
      </c>
      <c r="D102" s="20">
        <v>100</v>
      </c>
      <c r="E102" s="20">
        <v>100</v>
      </c>
      <c r="F102" s="25">
        <f t="shared" si="20"/>
        <v>100</v>
      </c>
      <c r="G102" s="8"/>
      <c r="H102" s="85">
        <v>3</v>
      </c>
    </row>
    <row r="103" spans="1:8" x14ac:dyDescent="0.2">
      <c r="A103" s="86" t="s">
        <v>112</v>
      </c>
      <c r="B103" s="20">
        <v>100</v>
      </c>
      <c r="C103" s="20">
        <v>100</v>
      </c>
      <c r="D103" s="20">
        <v>100</v>
      </c>
      <c r="E103" s="20">
        <v>100</v>
      </c>
      <c r="F103" s="25">
        <f t="shared" si="20"/>
        <v>100</v>
      </c>
      <c r="G103" s="8"/>
      <c r="H103" s="85">
        <v>1</v>
      </c>
    </row>
    <row r="104" spans="1:8" x14ac:dyDescent="0.2">
      <c r="A104" s="86" t="s">
        <v>127</v>
      </c>
      <c r="B104" s="20">
        <v>100</v>
      </c>
      <c r="C104" s="20">
        <v>100</v>
      </c>
      <c r="D104" s="20">
        <v>100</v>
      </c>
      <c r="E104" s="20">
        <v>100</v>
      </c>
      <c r="F104" s="25">
        <f t="shared" si="20"/>
        <v>100</v>
      </c>
      <c r="G104" s="8"/>
      <c r="H104" s="85">
        <v>4</v>
      </c>
    </row>
    <row r="105" spans="1:8" x14ac:dyDescent="0.2">
      <c r="A105" s="86" t="s">
        <v>128</v>
      </c>
      <c r="B105" s="20">
        <v>100</v>
      </c>
      <c r="C105" s="20">
        <v>100</v>
      </c>
      <c r="D105" s="20">
        <v>100</v>
      </c>
      <c r="E105" s="20">
        <v>100</v>
      </c>
      <c r="F105" s="25">
        <f t="shared" si="20"/>
        <v>100</v>
      </c>
      <c r="G105" s="8"/>
      <c r="H105" s="85">
        <v>4</v>
      </c>
    </row>
    <row r="106" spans="1:8" x14ac:dyDescent="0.2">
      <c r="A106" s="86" t="s">
        <v>113</v>
      </c>
      <c r="B106" s="20">
        <v>100</v>
      </c>
      <c r="C106" s="20">
        <v>100</v>
      </c>
      <c r="D106" s="20">
        <v>100</v>
      </c>
      <c r="E106" s="20">
        <v>100</v>
      </c>
      <c r="F106" s="25">
        <f t="shared" si="20"/>
        <v>100</v>
      </c>
      <c r="G106" s="8"/>
      <c r="H106" s="85">
        <v>5</v>
      </c>
    </row>
    <row r="107" spans="1:8" x14ac:dyDescent="0.2">
      <c r="A107" s="86" t="s">
        <v>114</v>
      </c>
      <c r="B107" s="20">
        <v>100</v>
      </c>
      <c r="C107" s="20">
        <v>100</v>
      </c>
      <c r="D107" s="20">
        <v>100</v>
      </c>
      <c r="E107" s="20">
        <f>17/20*100</f>
        <v>85</v>
      </c>
      <c r="F107" s="25">
        <f t="shared" ref="F107:F109" si="21">AVERAGE(B107:E107)</f>
        <v>96.25</v>
      </c>
      <c r="G107" s="8"/>
      <c r="H107" s="85">
        <v>2</v>
      </c>
    </row>
    <row r="108" spans="1:8" x14ac:dyDescent="0.2">
      <c r="A108" s="86" t="s">
        <v>106</v>
      </c>
      <c r="B108" s="20">
        <v>100</v>
      </c>
      <c r="C108" s="20">
        <v>100</v>
      </c>
      <c r="D108" s="20">
        <v>100</v>
      </c>
      <c r="E108" s="20">
        <v>100</v>
      </c>
      <c r="F108" s="25">
        <f t="shared" si="21"/>
        <v>100</v>
      </c>
      <c r="G108" s="8"/>
      <c r="H108" s="85">
        <v>3</v>
      </c>
    </row>
    <row r="109" spans="1:8" x14ac:dyDescent="0.2">
      <c r="A109" s="86" t="s">
        <v>108</v>
      </c>
      <c r="B109" s="20">
        <v>100</v>
      </c>
      <c r="C109" s="20">
        <v>100</v>
      </c>
      <c r="D109" s="20">
        <v>100</v>
      </c>
      <c r="E109" s="20">
        <v>100</v>
      </c>
      <c r="F109" s="25">
        <f t="shared" si="21"/>
        <v>100</v>
      </c>
      <c r="G109" s="8"/>
      <c r="H109" s="85">
        <v>5</v>
      </c>
    </row>
    <row r="110" spans="1:8" x14ac:dyDescent="0.2">
      <c r="H110" s="85"/>
    </row>
    <row r="111" spans="1:8" x14ac:dyDescent="0.2">
      <c r="A111" s="8"/>
      <c r="B111" s="119" t="s">
        <v>132</v>
      </c>
      <c r="C111" s="119"/>
      <c r="D111" s="119"/>
      <c r="E111" s="119"/>
      <c r="F111" s="119"/>
      <c r="G111" s="74"/>
      <c r="H111" s="74"/>
    </row>
    <row r="112" spans="1:8" x14ac:dyDescent="0.2">
      <c r="A112" s="8"/>
      <c r="B112" s="22" t="s">
        <v>45</v>
      </c>
      <c r="C112" s="22" t="s">
        <v>46</v>
      </c>
      <c r="D112" s="22" t="s">
        <v>78</v>
      </c>
      <c r="E112" s="23" t="s">
        <v>79</v>
      </c>
      <c r="F112" s="23" t="s">
        <v>47</v>
      </c>
      <c r="G112" s="8"/>
      <c r="H112" s="8"/>
    </row>
    <row r="113" spans="1:8" x14ac:dyDescent="0.2">
      <c r="A113" s="86" t="s">
        <v>115</v>
      </c>
      <c r="B113" s="20">
        <v>100</v>
      </c>
      <c r="C113" s="20">
        <v>100</v>
      </c>
      <c r="D113" s="20">
        <v>100</v>
      </c>
      <c r="E113" s="20">
        <v>100</v>
      </c>
      <c r="F113" s="25">
        <f>AVERAGE(B113:E113)</f>
        <v>100</v>
      </c>
      <c r="G113" s="8"/>
      <c r="H113" s="85">
        <v>2</v>
      </c>
    </row>
    <row r="114" spans="1:8" x14ac:dyDescent="0.2">
      <c r="A114" s="86" t="s">
        <v>116</v>
      </c>
      <c r="B114" s="20">
        <v>100</v>
      </c>
      <c r="C114" s="20">
        <v>100</v>
      </c>
      <c r="D114" s="20">
        <f>19/20*100</f>
        <v>95</v>
      </c>
      <c r="E114" s="20">
        <v>100</v>
      </c>
      <c r="F114" s="25">
        <f t="shared" ref="F114:F134" si="22">AVERAGE(B114:E114)</f>
        <v>98.75</v>
      </c>
      <c r="G114" s="8"/>
      <c r="H114" s="85">
        <v>3</v>
      </c>
    </row>
    <row r="115" spans="1:8" x14ac:dyDescent="0.2">
      <c r="A115" s="86" t="s">
        <v>117</v>
      </c>
      <c r="B115" s="20">
        <v>100</v>
      </c>
      <c r="C115" s="20">
        <v>100</v>
      </c>
      <c r="D115" s="20">
        <v>100</v>
      </c>
      <c r="E115" s="20">
        <v>100</v>
      </c>
      <c r="F115" s="25">
        <f t="shared" si="22"/>
        <v>100</v>
      </c>
      <c r="G115" s="8"/>
      <c r="H115" s="85">
        <v>3</v>
      </c>
    </row>
    <row r="116" spans="1:8" x14ac:dyDescent="0.2">
      <c r="A116" s="86" t="s">
        <v>118</v>
      </c>
      <c r="B116" s="20">
        <v>100</v>
      </c>
      <c r="C116" s="20">
        <v>100</v>
      </c>
      <c r="D116" s="20">
        <v>100</v>
      </c>
      <c r="E116" s="20">
        <v>100</v>
      </c>
      <c r="F116" s="25">
        <f t="shared" si="22"/>
        <v>100</v>
      </c>
      <c r="G116" s="8"/>
      <c r="H116" s="85">
        <v>2</v>
      </c>
    </row>
    <row r="117" spans="1:8" x14ac:dyDescent="0.2">
      <c r="A117" s="86" t="s">
        <v>119</v>
      </c>
      <c r="B117" s="20">
        <v>100</v>
      </c>
      <c r="C117" s="20">
        <v>100</v>
      </c>
      <c r="D117" s="20">
        <v>100</v>
      </c>
      <c r="E117" s="20">
        <v>100</v>
      </c>
      <c r="F117" s="25">
        <f t="shared" si="22"/>
        <v>100</v>
      </c>
      <c r="G117" s="8"/>
      <c r="H117" s="85">
        <v>2</v>
      </c>
    </row>
    <row r="118" spans="1:8" x14ac:dyDescent="0.2">
      <c r="A118" s="86" t="s">
        <v>107</v>
      </c>
      <c r="B118" s="20">
        <v>100</v>
      </c>
      <c r="C118" s="20">
        <v>100</v>
      </c>
      <c r="D118" s="20">
        <v>100</v>
      </c>
      <c r="E118" s="20">
        <v>100</v>
      </c>
      <c r="F118" s="25">
        <f t="shared" si="22"/>
        <v>100</v>
      </c>
      <c r="G118" s="8"/>
      <c r="H118" s="85">
        <v>1</v>
      </c>
    </row>
    <row r="119" spans="1:8" x14ac:dyDescent="0.2">
      <c r="A119" s="86" t="s">
        <v>135</v>
      </c>
      <c r="B119" s="20">
        <v>0</v>
      </c>
      <c r="C119" s="20">
        <f>0/20*100</f>
        <v>0</v>
      </c>
      <c r="D119" s="20">
        <f>0/20*100</f>
        <v>0</v>
      </c>
      <c r="E119" s="20">
        <f>0/20*100</f>
        <v>0</v>
      </c>
      <c r="F119" s="25">
        <f t="shared" si="22"/>
        <v>0</v>
      </c>
      <c r="G119" s="8"/>
      <c r="H119" s="85">
        <v>4</v>
      </c>
    </row>
    <row r="120" spans="1:8" x14ac:dyDescent="0.2">
      <c r="A120" s="86" t="s">
        <v>120</v>
      </c>
      <c r="B120" s="20">
        <v>100</v>
      </c>
      <c r="C120" s="20">
        <v>100</v>
      </c>
      <c r="D120" s="20">
        <v>100</v>
      </c>
      <c r="E120" s="20">
        <v>100</v>
      </c>
      <c r="F120" s="25">
        <f t="shared" si="22"/>
        <v>100</v>
      </c>
      <c r="G120" s="8"/>
      <c r="H120" s="85">
        <v>1</v>
      </c>
    </row>
    <row r="121" spans="1:8" x14ac:dyDescent="0.2">
      <c r="A121" s="86" t="s">
        <v>109</v>
      </c>
      <c r="B121" s="20">
        <v>0</v>
      </c>
      <c r="C121" s="20">
        <v>0</v>
      </c>
      <c r="D121" s="20">
        <f>10/20*100</f>
        <v>50</v>
      </c>
      <c r="E121" s="20">
        <f>10/20*100</f>
        <v>50</v>
      </c>
      <c r="F121" s="25">
        <f t="shared" si="22"/>
        <v>25</v>
      </c>
      <c r="G121" s="8"/>
      <c r="H121" s="85">
        <v>4</v>
      </c>
    </row>
    <row r="122" spans="1:8" x14ac:dyDescent="0.2">
      <c r="A122" s="86" t="s">
        <v>121</v>
      </c>
      <c r="B122" s="20">
        <v>100</v>
      </c>
      <c r="C122" s="20">
        <v>100</v>
      </c>
      <c r="D122" s="20">
        <v>100</v>
      </c>
      <c r="E122" s="20">
        <v>100</v>
      </c>
      <c r="F122" s="25">
        <f t="shared" si="22"/>
        <v>100</v>
      </c>
      <c r="G122" s="8"/>
      <c r="H122" s="85">
        <v>4</v>
      </c>
    </row>
    <row r="123" spans="1:8" x14ac:dyDescent="0.2">
      <c r="A123" s="86" t="s">
        <v>122</v>
      </c>
      <c r="B123" s="20">
        <v>100</v>
      </c>
      <c r="C123" s="20">
        <v>100</v>
      </c>
      <c r="D123" s="20">
        <f>17/20*100</f>
        <v>85</v>
      </c>
      <c r="E123" s="20">
        <v>100</v>
      </c>
      <c r="F123" s="25">
        <f t="shared" si="22"/>
        <v>96.25</v>
      </c>
      <c r="G123" s="8"/>
      <c r="H123" s="85">
        <v>3</v>
      </c>
    </row>
    <row r="124" spans="1:8" x14ac:dyDescent="0.2">
      <c r="A124" s="86" t="s">
        <v>123</v>
      </c>
      <c r="B124" s="20">
        <v>100</v>
      </c>
      <c r="C124" s="20">
        <v>100</v>
      </c>
      <c r="D124" s="20">
        <v>100</v>
      </c>
      <c r="E124" s="20">
        <v>100</v>
      </c>
      <c r="F124" s="25">
        <f t="shared" si="22"/>
        <v>100</v>
      </c>
      <c r="G124" s="8"/>
      <c r="H124" s="85">
        <v>5</v>
      </c>
    </row>
    <row r="125" spans="1:8" x14ac:dyDescent="0.2">
      <c r="A125" s="86" t="s">
        <v>124</v>
      </c>
      <c r="B125" s="20">
        <v>100</v>
      </c>
      <c r="C125" s="20">
        <v>100</v>
      </c>
      <c r="D125" s="20">
        <v>100</v>
      </c>
      <c r="E125" s="20">
        <v>100</v>
      </c>
      <c r="F125" s="25">
        <f t="shared" si="22"/>
        <v>100</v>
      </c>
      <c r="G125" s="8"/>
      <c r="H125" s="85">
        <v>5</v>
      </c>
    </row>
    <row r="126" spans="1:8" x14ac:dyDescent="0.2">
      <c r="A126" s="86" t="s">
        <v>110</v>
      </c>
      <c r="B126" s="20">
        <v>100</v>
      </c>
      <c r="C126" s="20">
        <v>100</v>
      </c>
      <c r="D126" s="20">
        <v>100</v>
      </c>
      <c r="E126" s="20">
        <v>100</v>
      </c>
      <c r="F126" s="25">
        <f t="shared" si="22"/>
        <v>100</v>
      </c>
      <c r="G126" s="8"/>
      <c r="H126" s="85">
        <v>2</v>
      </c>
    </row>
    <row r="127" spans="1:8" x14ac:dyDescent="0.2">
      <c r="A127" s="86" t="s">
        <v>125</v>
      </c>
      <c r="B127" s="20">
        <v>100</v>
      </c>
      <c r="C127" s="20">
        <v>100</v>
      </c>
      <c r="D127" s="20">
        <v>100</v>
      </c>
      <c r="E127" s="20">
        <v>100</v>
      </c>
      <c r="F127" s="25">
        <f t="shared" si="22"/>
        <v>100</v>
      </c>
      <c r="G127" s="8"/>
      <c r="H127" s="85">
        <v>1</v>
      </c>
    </row>
    <row r="128" spans="1:8" x14ac:dyDescent="0.2">
      <c r="A128" s="86" t="s">
        <v>111</v>
      </c>
      <c r="B128" s="20">
        <v>100</v>
      </c>
      <c r="C128" s="20">
        <v>100</v>
      </c>
      <c r="D128" s="20">
        <v>100</v>
      </c>
      <c r="E128" s="20">
        <v>100</v>
      </c>
      <c r="F128" s="25">
        <f t="shared" si="22"/>
        <v>100</v>
      </c>
      <c r="G128" s="8"/>
      <c r="H128" s="85">
        <v>1</v>
      </c>
    </row>
    <row r="129" spans="1:8" x14ac:dyDescent="0.2">
      <c r="A129" s="86" t="s">
        <v>126</v>
      </c>
      <c r="B129" s="20">
        <v>100</v>
      </c>
      <c r="C129" s="20">
        <v>100</v>
      </c>
      <c r="D129" s="20">
        <v>100</v>
      </c>
      <c r="E129" s="20">
        <v>100</v>
      </c>
      <c r="F129" s="25">
        <f t="shared" si="22"/>
        <v>100</v>
      </c>
      <c r="G129" s="8"/>
      <c r="H129" s="85">
        <v>3</v>
      </c>
    </row>
    <row r="130" spans="1:8" x14ac:dyDescent="0.2">
      <c r="A130" s="86" t="s">
        <v>112</v>
      </c>
      <c r="B130" s="20">
        <v>100</v>
      </c>
      <c r="C130" s="20">
        <v>100</v>
      </c>
      <c r="D130" s="20">
        <v>100</v>
      </c>
      <c r="E130" s="20">
        <v>100</v>
      </c>
      <c r="F130" s="25">
        <f t="shared" si="22"/>
        <v>100</v>
      </c>
      <c r="G130" s="8"/>
      <c r="H130" s="85">
        <v>1</v>
      </c>
    </row>
    <row r="131" spans="1:8" x14ac:dyDescent="0.2">
      <c r="A131" s="86" t="s">
        <v>127</v>
      </c>
      <c r="B131" s="20">
        <v>100</v>
      </c>
      <c r="C131" s="20">
        <v>100</v>
      </c>
      <c r="D131" s="20">
        <v>100</v>
      </c>
      <c r="E131" s="20">
        <v>100</v>
      </c>
      <c r="F131" s="25">
        <f t="shared" si="22"/>
        <v>100</v>
      </c>
      <c r="G131" s="8"/>
      <c r="H131" s="85">
        <v>4</v>
      </c>
    </row>
    <row r="132" spans="1:8" x14ac:dyDescent="0.2">
      <c r="A132" s="86" t="s">
        <v>128</v>
      </c>
      <c r="B132" s="20">
        <v>100</v>
      </c>
      <c r="C132" s="20">
        <v>100</v>
      </c>
      <c r="D132" s="20">
        <v>100</v>
      </c>
      <c r="E132" s="20">
        <v>100</v>
      </c>
      <c r="F132" s="25">
        <f t="shared" si="22"/>
        <v>100</v>
      </c>
      <c r="G132" s="8"/>
      <c r="H132" s="85">
        <v>4</v>
      </c>
    </row>
    <row r="133" spans="1:8" x14ac:dyDescent="0.2">
      <c r="A133" s="86" t="s">
        <v>113</v>
      </c>
      <c r="B133" s="20">
        <v>100</v>
      </c>
      <c r="C133" s="20">
        <v>100</v>
      </c>
      <c r="D133" s="20">
        <v>100</v>
      </c>
      <c r="E133" s="20">
        <v>100</v>
      </c>
      <c r="F133" s="25">
        <f t="shared" si="22"/>
        <v>100</v>
      </c>
      <c r="G133" s="8"/>
      <c r="H133" s="85">
        <v>5</v>
      </c>
    </row>
    <row r="134" spans="1:8" x14ac:dyDescent="0.2">
      <c r="A134" s="86" t="s">
        <v>114</v>
      </c>
      <c r="B134" s="20">
        <v>100</v>
      </c>
      <c r="C134" s="20">
        <v>100</v>
      </c>
      <c r="D134" s="20">
        <v>100</v>
      </c>
      <c r="E134" s="20">
        <v>100</v>
      </c>
      <c r="F134" s="25">
        <f t="shared" si="22"/>
        <v>100</v>
      </c>
      <c r="G134" s="8"/>
      <c r="H134" s="85">
        <v>2</v>
      </c>
    </row>
    <row r="135" spans="1:8" x14ac:dyDescent="0.2">
      <c r="A135" s="86" t="s">
        <v>106</v>
      </c>
      <c r="B135" s="20">
        <v>100</v>
      </c>
      <c r="C135" s="20">
        <v>100</v>
      </c>
      <c r="D135" s="20">
        <v>100</v>
      </c>
      <c r="E135" s="20">
        <v>100</v>
      </c>
      <c r="F135" s="25">
        <f t="shared" ref="F135:F136" si="23">AVERAGE(B135:E135)</f>
        <v>100</v>
      </c>
      <c r="G135" s="8"/>
      <c r="H135" s="85">
        <v>3</v>
      </c>
    </row>
    <row r="136" spans="1:8" x14ac:dyDescent="0.2">
      <c r="A136" s="86" t="s">
        <v>108</v>
      </c>
      <c r="B136" s="20">
        <v>100</v>
      </c>
      <c r="C136" s="20">
        <v>100</v>
      </c>
      <c r="D136" s="20">
        <v>100</v>
      </c>
      <c r="E136" s="20">
        <v>100</v>
      </c>
      <c r="F136" s="25">
        <f t="shared" si="23"/>
        <v>100</v>
      </c>
      <c r="G136" s="8"/>
      <c r="H136" s="85">
        <v>5</v>
      </c>
    </row>
    <row r="137" spans="1:8" x14ac:dyDescent="0.2">
      <c r="H137" s="85"/>
    </row>
    <row r="138" spans="1:8" x14ac:dyDescent="0.2">
      <c r="A138" s="8"/>
      <c r="B138" s="119" t="s">
        <v>131</v>
      </c>
      <c r="C138" s="119"/>
      <c r="D138" s="119"/>
      <c r="E138" s="119"/>
      <c r="F138" s="119"/>
      <c r="G138" s="74"/>
      <c r="H138" s="74"/>
    </row>
    <row r="139" spans="1:8" x14ac:dyDescent="0.2">
      <c r="A139" s="8"/>
      <c r="B139" s="22" t="s">
        <v>45</v>
      </c>
      <c r="C139" s="22" t="s">
        <v>46</v>
      </c>
      <c r="D139" s="22" t="s">
        <v>78</v>
      </c>
      <c r="E139" s="23" t="s">
        <v>79</v>
      </c>
      <c r="F139" s="23" t="s">
        <v>47</v>
      </c>
      <c r="G139" s="8"/>
      <c r="H139" s="8"/>
    </row>
    <row r="140" spans="1:8" x14ac:dyDescent="0.2">
      <c r="A140" s="86" t="s">
        <v>115</v>
      </c>
      <c r="B140" s="20">
        <v>100</v>
      </c>
      <c r="C140" s="20">
        <v>100</v>
      </c>
      <c r="D140" s="20">
        <v>100</v>
      </c>
      <c r="E140" s="20">
        <v>100</v>
      </c>
      <c r="F140" s="25">
        <f>AVERAGE(B140:E140)</f>
        <v>100</v>
      </c>
      <c r="G140" s="8"/>
      <c r="H140" s="85">
        <v>2</v>
      </c>
    </row>
    <row r="141" spans="1:8" x14ac:dyDescent="0.2">
      <c r="A141" s="86" t="s">
        <v>116</v>
      </c>
      <c r="B141" s="20">
        <v>100</v>
      </c>
      <c r="C141" s="20">
        <f>17/20*100</f>
        <v>85</v>
      </c>
      <c r="D141" s="20">
        <v>100</v>
      </c>
      <c r="E141" s="20">
        <f>18/20*100</f>
        <v>90</v>
      </c>
      <c r="F141" s="25">
        <f t="shared" ref="F141:F161" si="24">AVERAGE(B141:E141)</f>
        <v>93.75</v>
      </c>
      <c r="G141" s="8"/>
      <c r="H141" s="85">
        <v>3</v>
      </c>
    </row>
    <row r="142" spans="1:8" x14ac:dyDescent="0.2">
      <c r="A142" s="86" t="s">
        <v>117</v>
      </c>
      <c r="B142" s="20">
        <v>100</v>
      </c>
      <c r="C142" s="20">
        <v>100</v>
      </c>
      <c r="D142" s="20">
        <v>100</v>
      </c>
      <c r="E142" s="20">
        <v>100</v>
      </c>
      <c r="F142" s="25">
        <f t="shared" si="24"/>
        <v>100</v>
      </c>
      <c r="G142" s="8"/>
      <c r="H142" s="85">
        <v>3</v>
      </c>
    </row>
    <row r="143" spans="1:8" x14ac:dyDescent="0.2">
      <c r="A143" s="86" t="s">
        <v>118</v>
      </c>
      <c r="B143" s="20">
        <v>100</v>
      </c>
      <c r="C143" s="20">
        <v>100</v>
      </c>
      <c r="D143" s="20">
        <v>100</v>
      </c>
      <c r="E143" s="20">
        <v>100</v>
      </c>
      <c r="F143" s="25">
        <f t="shared" si="24"/>
        <v>100</v>
      </c>
      <c r="G143" s="8"/>
      <c r="H143" s="85">
        <v>2</v>
      </c>
    </row>
    <row r="144" spans="1:8" x14ac:dyDescent="0.2">
      <c r="A144" s="86" t="s">
        <v>119</v>
      </c>
      <c r="B144" s="20">
        <v>100</v>
      </c>
      <c r="C144" s="20">
        <v>100</v>
      </c>
      <c r="D144" s="20">
        <v>100</v>
      </c>
      <c r="E144" s="20">
        <v>100</v>
      </c>
      <c r="F144" s="25">
        <f t="shared" si="24"/>
        <v>100</v>
      </c>
      <c r="G144" s="8"/>
      <c r="H144" s="85">
        <v>2</v>
      </c>
    </row>
    <row r="145" spans="1:8" x14ac:dyDescent="0.2">
      <c r="A145" s="86" t="s">
        <v>107</v>
      </c>
      <c r="B145" s="20">
        <v>0</v>
      </c>
      <c r="C145" s="20">
        <v>0</v>
      </c>
      <c r="D145" s="20">
        <v>0</v>
      </c>
      <c r="E145" s="20">
        <v>0</v>
      </c>
      <c r="F145" s="25">
        <f t="shared" si="24"/>
        <v>0</v>
      </c>
      <c r="G145" s="8"/>
      <c r="H145" s="85">
        <v>1</v>
      </c>
    </row>
    <row r="146" spans="1:8" x14ac:dyDescent="0.2">
      <c r="A146" s="86" t="s">
        <v>135</v>
      </c>
      <c r="B146" s="20">
        <v>0</v>
      </c>
      <c r="C146" s="20">
        <v>0</v>
      </c>
      <c r="D146" s="20">
        <v>0</v>
      </c>
      <c r="E146" s="20">
        <v>0</v>
      </c>
      <c r="F146" s="25">
        <f t="shared" si="24"/>
        <v>0</v>
      </c>
      <c r="G146" s="8"/>
      <c r="H146" s="85">
        <v>4</v>
      </c>
    </row>
    <row r="147" spans="1:8" x14ac:dyDescent="0.2">
      <c r="A147" s="86" t="s">
        <v>120</v>
      </c>
      <c r="B147" s="20">
        <v>0</v>
      </c>
      <c r="C147" s="20">
        <v>0</v>
      </c>
      <c r="D147" s="20">
        <v>0</v>
      </c>
      <c r="E147" s="20">
        <v>0</v>
      </c>
      <c r="F147" s="25">
        <f t="shared" si="24"/>
        <v>0</v>
      </c>
      <c r="G147" s="8"/>
      <c r="H147" s="85">
        <v>1</v>
      </c>
    </row>
    <row r="148" spans="1:8" x14ac:dyDescent="0.2">
      <c r="A148" s="86" t="s">
        <v>109</v>
      </c>
      <c r="B148" s="20">
        <v>0</v>
      </c>
      <c r="C148" s="20">
        <v>0</v>
      </c>
      <c r="D148" s="20">
        <v>0</v>
      </c>
      <c r="E148" s="20">
        <v>0</v>
      </c>
      <c r="F148" s="25">
        <f t="shared" si="24"/>
        <v>0</v>
      </c>
      <c r="G148" s="8"/>
      <c r="H148" s="85">
        <v>4</v>
      </c>
    </row>
    <row r="149" spans="1:8" x14ac:dyDescent="0.2">
      <c r="A149" s="86" t="s">
        <v>121</v>
      </c>
      <c r="B149" s="20">
        <v>0</v>
      </c>
      <c r="C149" s="20">
        <v>0</v>
      </c>
      <c r="D149" s="20">
        <v>0</v>
      </c>
      <c r="E149" s="20">
        <v>0</v>
      </c>
      <c r="F149" s="25">
        <f t="shared" si="24"/>
        <v>0</v>
      </c>
      <c r="G149" s="8"/>
      <c r="H149" s="85">
        <v>4</v>
      </c>
    </row>
    <row r="150" spans="1:8" x14ac:dyDescent="0.2">
      <c r="A150" s="86" t="s">
        <v>122</v>
      </c>
      <c r="B150" s="20">
        <v>100</v>
      </c>
      <c r="C150" s="20">
        <v>100</v>
      </c>
      <c r="D150" s="20">
        <v>100</v>
      </c>
      <c r="E150" s="20">
        <v>100</v>
      </c>
      <c r="F150" s="25">
        <f t="shared" si="24"/>
        <v>100</v>
      </c>
      <c r="G150" s="8"/>
      <c r="H150" s="85">
        <v>3</v>
      </c>
    </row>
    <row r="151" spans="1:8" x14ac:dyDescent="0.2">
      <c r="A151" s="86" t="s">
        <v>123</v>
      </c>
      <c r="B151" s="20">
        <v>100</v>
      </c>
      <c r="C151" s="20">
        <v>100</v>
      </c>
      <c r="D151" s="20">
        <v>100</v>
      </c>
      <c r="E151" s="20">
        <v>100</v>
      </c>
      <c r="F151" s="25">
        <f t="shared" si="24"/>
        <v>100</v>
      </c>
      <c r="G151" s="8"/>
      <c r="H151" s="85">
        <v>5</v>
      </c>
    </row>
    <row r="152" spans="1:8" x14ac:dyDescent="0.2">
      <c r="A152" s="86" t="s">
        <v>124</v>
      </c>
      <c r="B152" s="20">
        <v>100</v>
      </c>
      <c r="C152" s="20">
        <v>100</v>
      </c>
      <c r="D152" s="20">
        <v>100</v>
      </c>
      <c r="E152" s="20">
        <v>100</v>
      </c>
      <c r="F152" s="25">
        <f t="shared" si="24"/>
        <v>100</v>
      </c>
      <c r="G152" s="8"/>
      <c r="H152" s="85">
        <v>5</v>
      </c>
    </row>
    <row r="153" spans="1:8" x14ac:dyDescent="0.2">
      <c r="A153" s="86" t="s">
        <v>110</v>
      </c>
      <c r="B153" s="20">
        <v>100</v>
      </c>
      <c r="C153" s="20">
        <v>100</v>
      </c>
      <c r="D153" s="20">
        <v>100</v>
      </c>
      <c r="E153" s="20">
        <v>100</v>
      </c>
      <c r="F153" s="25">
        <f t="shared" si="24"/>
        <v>100</v>
      </c>
      <c r="G153" s="8"/>
      <c r="H153" s="85">
        <v>2</v>
      </c>
    </row>
    <row r="154" spans="1:8" x14ac:dyDescent="0.2">
      <c r="A154" s="86" t="s">
        <v>125</v>
      </c>
      <c r="B154" s="20">
        <v>0</v>
      </c>
      <c r="C154" s="20">
        <v>0</v>
      </c>
      <c r="D154" s="20">
        <v>0</v>
      </c>
      <c r="E154" s="20">
        <v>0</v>
      </c>
      <c r="F154" s="25">
        <f t="shared" si="24"/>
        <v>0</v>
      </c>
      <c r="G154" s="8"/>
      <c r="H154" s="85">
        <v>1</v>
      </c>
    </row>
    <row r="155" spans="1:8" x14ac:dyDescent="0.2">
      <c r="A155" s="86" t="s">
        <v>111</v>
      </c>
      <c r="B155" s="20">
        <v>0</v>
      </c>
      <c r="C155" s="20">
        <v>0</v>
      </c>
      <c r="D155" s="20">
        <v>0</v>
      </c>
      <c r="E155" s="20">
        <v>0</v>
      </c>
      <c r="F155" s="25">
        <f t="shared" si="24"/>
        <v>0</v>
      </c>
      <c r="G155" s="8"/>
      <c r="H155" s="85">
        <v>1</v>
      </c>
    </row>
    <row r="156" spans="1:8" x14ac:dyDescent="0.2">
      <c r="A156" s="86" t="s">
        <v>126</v>
      </c>
      <c r="B156" s="20">
        <v>100</v>
      </c>
      <c r="C156" s="20">
        <v>100</v>
      </c>
      <c r="D156" s="20">
        <v>100</v>
      </c>
      <c r="E156" s="20">
        <v>100</v>
      </c>
      <c r="F156" s="25">
        <f t="shared" si="24"/>
        <v>100</v>
      </c>
      <c r="G156" s="8"/>
      <c r="H156" s="85">
        <v>3</v>
      </c>
    </row>
    <row r="157" spans="1:8" x14ac:dyDescent="0.2">
      <c r="A157" s="86" t="s">
        <v>112</v>
      </c>
      <c r="B157" s="20">
        <v>0</v>
      </c>
      <c r="C157" s="20">
        <v>0</v>
      </c>
      <c r="D157" s="20">
        <v>0</v>
      </c>
      <c r="E157" s="20">
        <v>0</v>
      </c>
      <c r="F157" s="25">
        <f t="shared" si="24"/>
        <v>0</v>
      </c>
      <c r="G157" s="8"/>
      <c r="H157" s="85">
        <v>1</v>
      </c>
    </row>
    <row r="158" spans="1:8" x14ac:dyDescent="0.2">
      <c r="A158" s="86" t="s">
        <v>127</v>
      </c>
      <c r="B158" s="20">
        <v>0</v>
      </c>
      <c r="C158" s="20">
        <v>0</v>
      </c>
      <c r="D158" s="20">
        <v>0</v>
      </c>
      <c r="E158" s="20">
        <v>0</v>
      </c>
      <c r="F158" s="25">
        <f t="shared" si="24"/>
        <v>0</v>
      </c>
      <c r="G158" s="8"/>
      <c r="H158" s="85">
        <v>4</v>
      </c>
    </row>
    <row r="159" spans="1:8" x14ac:dyDescent="0.2">
      <c r="A159" s="86" t="s">
        <v>128</v>
      </c>
      <c r="B159" s="20">
        <v>0</v>
      </c>
      <c r="C159" s="20">
        <v>0</v>
      </c>
      <c r="D159" s="20">
        <v>0</v>
      </c>
      <c r="E159" s="20">
        <v>0</v>
      </c>
      <c r="F159" s="25">
        <f t="shared" si="24"/>
        <v>0</v>
      </c>
      <c r="G159" s="8"/>
      <c r="H159" s="85">
        <v>4</v>
      </c>
    </row>
    <row r="160" spans="1:8" x14ac:dyDescent="0.2">
      <c r="A160" s="86" t="s">
        <v>113</v>
      </c>
      <c r="B160" s="20">
        <v>100</v>
      </c>
      <c r="C160" s="20">
        <v>100</v>
      </c>
      <c r="D160" s="20">
        <v>100</v>
      </c>
      <c r="E160" s="20">
        <v>100</v>
      </c>
      <c r="F160" s="25">
        <f t="shared" si="24"/>
        <v>100</v>
      </c>
      <c r="G160" s="8"/>
      <c r="H160" s="85">
        <v>5</v>
      </c>
    </row>
    <row r="161" spans="1:8" x14ac:dyDescent="0.2">
      <c r="A161" s="86" t="s">
        <v>114</v>
      </c>
      <c r="B161" s="20">
        <v>100</v>
      </c>
      <c r="C161" s="20">
        <v>100</v>
      </c>
      <c r="D161" s="20">
        <v>100</v>
      </c>
      <c r="E161" s="20">
        <v>100</v>
      </c>
      <c r="F161" s="25">
        <f t="shared" si="24"/>
        <v>100</v>
      </c>
      <c r="G161" s="8"/>
      <c r="H161" s="85">
        <v>2</v>
      </c>
    </row>
    <row r="162" spans="1:8" x14ac:dyDescent="0.2">
      <c r="A162" s="86" t="s">
        <v>106</v>
      </c>
      <c r="B162" s="20">
        <v>100</v>
      </c>
      <c r="C162" s="20">
        <v>100</v>
      </c>
      <c r="D162" s="20">
        <v>100</v>
      </c>
      <c r="E162" s="20">
        <v>100</v>
      </c>
      <c r="F162" s="25">
        <f t="shared" ref="F162:F163" si="25">AVERAGE(B162:E162)</f>
        <v>100</v>
      </c>
      <c r="G162" s="8"/>
      <c r="H162" s="85">
        <v>3</v>
      </c>
    </row>
    <row r="163" spans="1:8" x14ac:dyDescent="0.2">
      <c r="A163" s="86" t="s">
        <v>108</v>
      </c>
      <c r="B163" s="20">
        <v>100</v>
      </c>
      <c r="C163" s="20">
        <v>100</v>
      </c>
      <c r="D163" s="20">
        <v>100</v>
      </c>
      <c r="E163" s="20">
        <v>100</v>
      </c>
      <c r="F163" s="25">
        <f t="shared" si="25"/>
        <v>100</v>
      </c>
      <c r="G163" s="8"/>
      <c r="H163" s="85">
        <v>5</v>
      </c>
    </row>
    <row r="164" spans="1:8" x14ac:dyDescent="0.2">
      <c r="H164" s="85"/>
    </row>
  </sheetData>
  <sheetProtection selectLockedCells="1" selectUnlockedCells="1"/>
  <mergeCells count="13">
    <mergeCell ref="A1:Q1"/>
    <mergeCell ref="A3:A4"/>
    <mergeCell ref="B3:D3"/>
    <mergeCell ref="E3:G3"/>
    <mergeCell ref="H3:J3"/>
    <mergeCell ref="K3:M3"/>
    <mergeCell ref="N3:P3"/>
    <mergeCell ref="B138:F138"/>
    <mergeCell ref="B30:F30"/>
    <mergeCell ref="Q3:Q4"/>
    <mergeCell ref="B57:F57"/>
    <mergeCell ref="B84:F84"/>
    <mergeCell ref="B111:F111"/>
  </mergeCells>
  <pageMargins left="0.19652777777777777" right="0.19652777777777777" top="0.19652777777777777" bottom="0.19652777777777777" header="0.51180555555555551" footer="0.51180555555555551"/>
  <pageSetup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selection activeCell="I12" sqref="I12"/>
    </sheetView>
  </sheetViews>
  <sheetFormatPr baseColWidth="10" defaultColWidth="11.42578125" defaultRowHeight="12.75" x14ac:dyDescent="0.2"/>
  <cols>
    <col min="1" max="1" width="7.7109375" customWidth="1"/>
    <col min="2" max="10" width="10.7109375" customWidth="1"/>
  </cols>
  <sheetData>
    <row r="1" spans="1:13" ht="15.75" x14ac:dyDescent="0.25">
      <c r="A1" s="115" t="s">
        <v>64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3" x14ac:dyDescent="0.2">
      <c r="A2" s="1"/>
      <c r="B2" s="15"/>
      <c r="C2" s="2"/>
      <c r="D2" s="2"/>
      <c r="E2" s="2"/>
      <c r="F2" s="2"/>
      <c r="G2" s="2"/>
      <c r="H2" s="2"/>
      <c r="I2" s="2"/>
      <c r="J2" s="2"/>
    </row>
    <row r="3" spans="1:13" x14ac:dyDescent="0.2">
      <c r="A3" s="127" t="s">
        <v>1</v>
      </c>
      <c r="B3" s="127" t="s">
        <v>8</v>
      </c>
      <c r="C3" s="127"/>
      <c r="D3" s="127"/>
      <c r="E3" s="127" t="s">
        <v>9</v>
      </c>
      <c r="F3" s="127"/>
      <c r="G3" s="127"/>
      <c r="H3" s="127" t="s">
        <v>10</v>
      </c>
      <c r="I3" s="127"/>
      <c r="J3" s="127"/>
    </row>
    <row r="4" spans="1:13" x14ac:dyDescent="0.2">
      <c r="A4" s="121"/>
      <c r="B4" s="16" t="s">
        <v>65</v>
      </c>
      <c r="C4" s="16" t="s">
        <v>66</v>
      </c>
      <c r="D4" s="16" t="s">
        <v>13</v>
      </c>
      <c r="E4" s="16" t="s">
        <v>65</v>
      </c>
      <c r="F4" s="16" t="s">
        <v>66</v>
      </c>
      <c r="G4" s="16" t="s">
        <v>13</v>
      </c>
      <c r="H4" s="16" t="s">
        <v>65</v>
      </c>
      <c r="I4" s="6" t="s">
        <v>66</v>
      </c>
      <c r="J4" s="16" t="s">
        <v>13</v>
      </c>
      <c r="M4" s="97" t="s">
        <v>147</v>
      </c>
    </row>
    <row r="5" spans="1:13" x14ac:dyDescent="0.2">
      <c r="A5" s="86" t="s">
        <v>115</v>
      </c>
      <c r="B5" s="39">
        <v>75</v>
      </c>
      <c r="C5" s="39">
        <v>0</v>
      </c>
      <c r="D5" s="35">
        <f>B5+C5*0.1</f>
        <v>75</v>
      </c>
      <c r="E5" s="39">
        <v>90</v>
      </c>
      <c r="F5" s="39">
        <v>0</v>
      </c>
      <c r="G5" s="35">
        <f>E5+F5*0.1</f>
        <v>90</v>
      </c>
      <c r="H5" s="39">
        <f>Quices!E4*0.5+Quices!F4*0.5</f>
        <v>86</v>
      </c>
      <c r="I5" s="39">
        <v>100</v>
      </c>
      <c r="J5" s="35">
        <f>H5+I5*0.15</f>
        <v>101</v>
      </c>
      <c r="L5" s="85">
        <v>2</v>
      </c>
      <c r="M5" s="85" t="s">
        <v>148</v>
      </c>
    </row>
    <row r="6" spans="1:13" x14ac:dyDescent="0.2">
      <c r="A6" s="86" t="s">
        <v>116</v>
      </c>
      <c r="B6" s="39">
        <v>71</v>
      </c>
      <c r="C6" s="39">
        <v>0</v>
      </c>
      <c r="D6" s="35">
        <f t="shared" ref="D6:D23" si="0">B6+C6*0.1</f>
        <v>71</v>
      </c>
      <c r="E6" s="39">
        <v>95</v>
      </c>
      <c r="F6" s="39">
        <v>0</v>
      </c>
      <c r="G6" s="35">
        <f t="shared" ref="G6:G23" si="1">E6+F6*0.1</f>
        <v>95</v>
      </c>
      <c r="H6" s="39">
        <f>Quices!E5*0.5+Quices!F5*0.5</f>
        <v>89</v>
      </c>
      <c r="I6" s="39">
        <v>100</v>
      </c>
      <c r="J6" s="35">
        <f t="shared" ref="J6:J28" si="2">H6+I6*0.15</f>
        <v>104</v>
      </c>
      <c r="L6" s="85">
        <v>3</v>
      </c>
      <c r="M6" s="85" t="s">
        <v>148</v>
      </c>
    </row>
    <row r="7" spans="1:13" x14ac:dyDescent="0.2">
      <c r="A7" s="86" t="s">
        <v>117</v>
      </c>
      <c r="B7" s="39">
        <v>75</v>
      </c>
      <c r="C7" s="39">
        <v>0</v>
      </c>
      <c r="D7" s="35">
        <f t="shared" si="0"/>
        <v>75</v>
      </c>
      <c r="E7" s="39">
        <v>90</v>
      </c>
      <c r="F7" s="39">
        <v>0</v>
      </c>
      <c r="G7" s="35">
        <f t="shared" si="1"/>
        <v>90</v>
      </c>
      <c r="H7" s="39">
        <f>Quices!E6*0.5+Quices!F6*0.5</f>
        <v>89</v>
      </c>
      <c r="I7" s="39">
        <v>100</v>
      </c>
      <c r="J7" s="35">
        <f t="shared" si="2"/>
        <v>104</v>
      </c>
      <c r="L7" s="85">
        <v>3</v>
      </c>
      <c r="M7" s="85" t="s">
        <v>148</v>
      </c>
    </row>
    <row r="8" spans="1:13" x14ac:dyDescent="0.2">
      <c r="A8" s="86" t="s">
        <v>118</v>
      </c>
      <c r="B8" s="39">
        <v>71</v>
      </c>
      <c r="C8" s="39">
        <v>0</v>
      </c>
      <c r="D8" s="35">
        <f t="shared" si="0"/>
        <v>71</v>
      </c>
      <c r="E8" s="39">
        <v>82</v>
      </c>
      <c r="F8" s="39">
        <v>0</v>
      </c>
      <c r="G8" s="35">
        <f t="shared" si="1"/>
        <v>82</v>
      </c>
      <c r="H8" s="39">
        <f>Quices!E7*0.5+Quices!F7*0.5</f>
        <v>86</v>
      </c>
      <c r="I8" s="39">
        <v>100</v>
      </c>
      <c r="J8" s="35">
        <f t="shared" si="2"/>
        <v>101</v>
      </c>
      <c r="L8" s="85">
        <v>2</v>
      </c>
      <c r="M8" s="85" t="s">
        <v>148</v>
      </c>
    </row>
    <row r="9" spans="1:13" x14ac:dyDescent="0.2">
      <c r="A9" s="86" t="s">
        <v>119</v>
      </c>
      <c r="B9" s="39">
        <v>70</v>
      </c>
      <c r="C9" s="39">
        <v>0</v>
      </c>
      <c r="D9" s="35">
        <f t="shared" si="0"/>
        <v>70</v>
      </c>
      <c r="E9" s="39">
        <v>95</v>
      </c>
      <c r="F9" s="39">
        <v>0</v>
      </c>
      <c r="G9" s="35">
        <f t="shared" si="1"/>
        <v>95</v>
      </c>
      <c r="H9" s="39">
        <f>Quices!E8*0.5+Quices!F8*0.5</f>
        <v>86</v>
      </c>
      <c r="I9" s="39">
        <v>100</v>
      </c>
      <c r="J9" s="35">
        <f t="shared" si="2"/>
        <v>101</v>
      </c>
      <c r="L9" s="85">
        <v>2</v>
      </c>
      <c r="M9" s="85" t="s">
        <v>148</v>
      </c>
    </row>
    <row r="10" spans="1:13" x14ac:dyDescent="0.2">
      <c r="A10" s="86" t="s">
        <v>107</v>
      </c>
      <c r="B10" s="39">
        <v>70</v>
      </c>
      <c r="C10" s="39">
        <v>0</v>
      </c>
      <c r="D10" s="35">
        <f t="shared" si="0"/>
        <v>70</v>
      </c>
      <c r="E10" s="39">
        <v>88</v>
      </c>
      <c r="F10" s="39">
        <v>0</v>
      </c>
      <c r="G10" s="35">
        <f t="shared" si="1"/>
        <v>88</v>
      </c>
      <c r="H10" s="39">
        <f>Quices!E9*0.5+Quices!F9*0.5</f>
        <v>71</v>
      </c>
      <c r="I10" s="39">
        <v>100</v>
      </c>
      <c r="J10" s="35">
        <f t="shared" si="2"/>
        <v>86</v>
      </c>
      <c r="L10" s="85">
        <v>1</v>
      </c>
      <c r="M10" s="85" t="s">
        <v>148</v>
      </c>
    </row>
    <row r="11" spans="1:13" x14ac:dyDescent="0.2">
      <c r="A11" s="86" t="s">
        <v>135</v>
      </c>
      <c r="B11" s="39">
        <v>0</v>
      </c>
      <c r="C11" s="39">
        <v>0</v>
      </c>
      <c r="D11" s="35">
        <f t="shared" si="0"/>
        <v>0</v>
      </c>
      <c r="E11" s="39">
        <v>0</v>
      </c>
      <c r="F11" s="39">
        <v>0</v>
      </c>
      <c r="G11" s="35">
        <f t="shared" si="1"/>
        <v>0</v>
      </c>
      <c r="H11" s="39">
        <f>Quices!E10*0.5+Quices!F10*0.5</f>
        <v>0</v>
      </c>
      <c r="I11" s="39">
        <v>0</v>
      </c>
      <c r="J11" s="35">
        <f t="shared" si="2"/>
        <v>0</v>
      </c>
      <c r="L11" s="85">
        <v>4</v>
      </c>
      <c r="M11" s="85" t="s">
        <v>149</v>
      </c>
    </row>
    <row r="12" spans="1:13" x14ac:dyDescent="0.2">
      <c r="A12" s="86" t="s">
        <v>120</v>
      </c>
      <c r="B12" s="39">
        <v>68</v>
      </c>
      <c r="C12" s="39">
        <v>0</v>
      </c>
      <c r="D12" s="35">
        <f t="shared" si="0"/>
        <v>68</v>
      </c>
      <c r="E12" s="39">
        <v>57</v>
      </c>
      <c r="F12" s="39">
        <v>0</v>
      </c>
      <c r="G12" s="35">
        <f t="shared" si="1"/>
        <v>57</v>
      </c>
      <c r="H12" s="39">
        <f>Quices!E11*0.5+Quices!F11*0.5</f>
        <v>71</v>
      </c>
      <c r="I12" s="39">
        <v>100</v>
      </c>
      <c r="J12" s="35">
        <f t="shared" si="2"/>
        <v>86</v>
      </c>
      <c r="L12" s="85">
        <v>1</v>
      </c>
      <c r="M12" s="85" t="s">
        <v>148</v>
      </c>
    </row>
    <row r="13" spans="1:13" x14ac:dyDescent="0.2">
      <c r="A13" s="86" t="s">
        <v>109</v>
      </c>
      <c r="B13" s="39">
        <v>83</v>
      </c>
      <c r="C13" s="39">
        <v>0</v>
      </c>
      <c r="D13" s="35">
        <f t="shared" si="0"/>
        <v>83</v>
      </c>
      <c r="E13" s="39">
        <v>98</v>
      </c>
      <c r="F13" s="39">
        <v>0</v>
      </c>
      <c r="G13" s="35">
        <f t="shared" si="1"/>
        <v>98</v>
      </c>
      <c r="H13" s="39">
        <f>Quices!E12*0.5+Quices!F12*0.5</f>
        <v>40.5</v>
      </c>
      <c r="I13" s="39">
        <v>0</v>
      </c>
      <c r="J13" s="35">
        <f t="shared" si="2"/>
        <v>40.5</v>
      </c>
      <c r="L13" s="85">
        <v>4</v>
      </c>
      <c r="M13" s="85" t="s">
        <v>149</v>
      </c>
    </row>
    <row r="14" spans="1:13" x14ac:dyDescent="0.2">
      <c r="A14" s="86" t="s">
        <v>121</v>
      </c>
      <c r="B14" s="39">
        <v>76</v>
      </c>
      <c r="C14" s="39">
        <v>0</v>
      </c>
      <c r="D14" s="35">
        <f t="shared" si="0"/>
        <v>76</v>
      </c>
      <c r="E14" s="39">
        <v>82</v>
      </c>
      <c r="F14" s="39">
        <v>0</v>
      </c>
      <c r="G14" s="35">
        <f t="shared" si="1"/>
        <v>82</v>
      </c>
      <c r="H14" s="39">
        <f>Quices!E13*0.5+Quices!F13*0.5</f>
        <v>86</v>
      </c>
      <c r="I14" s="39">
        <v>100</v>
      </c>
      <c r="J14" s="35">
        <f t="shared" si="2"/>
        <v>101</v>
      </c>
      <c r="L14" s="85">
        <v>4</v>
      </c>
      <c r="M14" s="85" t="s">
        <v>148</v>
      </c>
    </row>
    <row r="15" spans="1:13" x14ac:dyDescent="0.2">
      <c r="A15" s="86" t="s">
        <v>122</v>
      </c>
      <c r="B15" s="39">
        <v>83</v>
      </c>
      <c r="C15" s="39">
        <v>0</v>
      </c>
      <c r="D15" s="35">
        <f t="shared" si="0"/>
        <v>83</v>
      </c>
      <c r="E15" s="39">
        <v>94</v>
      </c>
      <c r="F15" s="39">
        <v>0</v>
      </c>
      <c r="G15" s="35">
        <f t="shared" si="1"/>
        <v>94</v>
      </c>
      <c r="H15" s="39">
        <f>Quices!E14*0.5+Quices!F14*0.5</f>
        <v>89</v>
      </c>
      <c r="I15" s="39">
        <v>100</v>
      </c>
      <c r="J15" s="35">
        <f t="shared" si="2"/>
        <v>104</v>
      </c>
      <c r="L15" s="85">
        <v>3</v>
      </c>
      <c r="M15" s="85" t="s">
        <v>148</v>
      </c>
    </row>
    <row r="16" spans="1:13" x14ac:dyDescent="0.2">
      <c r="A16" s="86" t="s">
        <v>123</v>
      </c>
      <c r="B16" s="39">
        <v>83</v>
      </c>
      <c r="C16" s="39">
        <v>0</v>
      </c>
      <c r="D16" s="35">
        <f t="shared" si="0"/>
        <v>83</v>
      </c>
      <c r="E16" s="39">
        <v>94</v>
      </c>
      <c r="F16" s="39">
        <v>0</v>
      </c>
      <c r="G16" s="35">
        <f t="shared" si="1"/>
        <v>94</v>
      </c>
      <c r="H16" s="39">
        <f>Quices!E15*0.5+Quices!F15*0.5</f>
        <v>91</v>
      </c>
      <c r="I16" s="39">
        <v>100</v>
      </c>
      <c r="J16" s="35">
        <f t="shared" si="2"/>
        <v>106</v>
      </c>
      <c r="L16" s="85">
        <v>5</v>
      </c>
      <c r="M16" s="85" t="s">
        <v>148</v>
      </c>
    </row>
    <row r="17" spans="1:13" x14ac:dyDescent="0.2">
      <c r="A17" s="86" t="s">
        <v>124</v>
      </c>
      <c r="B17" s="39">
        <v>68</v>
      </c>
      <c r="C17" s="39">
        <v>0</v>
      </c>
      <c r="D17" s="35">
        <f t="shared" si="0"/>
        <v>68</v>
      </c>
      <c r="E17" s="39">
        <v>94</v>
      </c>
      <c r="F17" s="39">
        <v>0</v>
      </c>
      <c r="G17" s="35">
        <f t="shared" si="1"/>
        <v>94</v>
      </c>
      <c r="H17" s="39">
        <f>Quices!E16*0.5+Quices!F16*0.5</f>
        <v>91</v>
      </c>
      <c r="I17" s="39">
        <v>100</v>
      </c>
      <c r="J17" s="35">
        <f t="shared" si="2"/>
        <v>106</v>
      </c>
      <c r="L17" s="85">
        <v>5</v>
      </c>
      <c r="M17" s="85" t="s">
        <v>148</v>
      </c>
    </row>
    <row r="18" spans="1:13" x14ac:dyDescent="0.2">
      <c r="A18" s="86" t="s">
        <v>110</v>
      </c>
      <c r="B18" s="39">
        <v>75</v>
      </c>
      <c r="C18" s="39">
        <v>0</v>
      </c>
      <c r="D18" s="35">
        <f t="shared" si="0"/>
        <v>75</v>
      </c>
      <c r="E18" s="39">
        <v>90</v>
      </c>
      <c r="F18" s="39">
        <v>0</v>
      </c>
      <c r="G18" s="35">
        <f t="shared" si="1"/>
        <v>90</v>
      </c>
      <c r="H18" s="39">
        <f>Quices!E17*0.5+Quices!F17*0.5</f>
        <v>86</v>
      </c>
      <c r="I18" s="39">
        <v>100</v>
      </c>
      <c r="J18" s="35">
        <f t="shared" si="2"/>
        <v>101</v>
      </c>
      <c r="L18" s="85">
        <v>2</v>
      </c>
      <c r="M18" s="85" t="s">
        <v>148</v>
      </c>
    </row>
    <row r="19" spans="1:13" x14ac:dyDescent="0.2">
      <c r="A19" s="86" t="s">
        <v>125</v>
      </c>
      <c r="B19" s="39">
        <v>89</v>
      </c>
      <c r="C19" s="39">
        <v>0</v>
      </c>
      <c r="D19" s="35">
        <f t="shared" si="0"/>
        <v>89</v>
      </c>
      <c r="E19" s="39">
        <v>88</v>
      </c>
      <c r="F19" s="39">
        <v>0</v>
      </c>
      <c r="G19" s="35">
        <f t="shared" si="1"/>
        <v>88</v>
      </c>
      <c r="H19" s="39">
        <f>Quices!E18*0.5+Quices!F18*0.5</f>
        <v>71</v>
      </c>
      <c r="I19" s="39">
        <v>100</v>
      </c>
      <c r="J19" s="35">
        <f t="shared" si="2"/>
        <v>86</v>
      </c>
      <c r="L19" s="85">
        <v>1</v>
      </c>
      <c r="M19" s="85" t="s">
        <v>148</v>
      </c>
    </row>
    <row r="20" spans="1:13" x14ac:dyDescent="0.2">
      <c r="A20" s="86" t="s">
        <v>111</v>
      </c>
      <c r="B20" s="39">
        <v>75</v>
      </c>
      <c r="C20" s="39">
        <v>0</v>
      </c>
      <c r="D20" s="35">
        <f t="shared" si="0"/>
        <v>75</v>
      </c>
      <c r="E20" s="39">
        <v>57</v>
      </c>
      <c r="F20" s="39">
        <v>0</v>
      </c>
      <c r="G20" s="35">
        <f t="shared" si="1"/>
        <v>57</v>
      </c>
      <c r="H20" s="39">
        <f>Quices!E19*0.5+Quices!F19*0.5</f>
        <v>71</v>
      </c>
      <c r="I20" s="39">
        <v>100</v>
      </c>
      <c r="J20" s="35">
        <f t="shared" si="2"/>
        <v>86</v>
      </c>
      <c r="L20" s="85">
        <v>1</v>
      </c>
      <c r="M20" s="85" t="s">
        <v>148</v>
      </c>
    </row>
    <row r="21" spans="1:13" x14ac:dyDescent="0.2">
      <c r="A21" s="86" t="s">
        <v>126</v>
      </c>
      <c r="B21" s="39">
        <v>76</v>
      </c>
      <c r="C21" s="39">
        <v>0</v>
      </c>
      <c r="D21" s="35">
        <f t="shared" si="0"/>
        <v>76</v>
      </c>
      <c r="E21" s="39">
        <v>98</v>
      </c>
      <c r="F21" s="39">
        <v>0</v>
      </c>
      <c r="G21" s="35">
        <f t="shared" si="1"/>
        <v>98</v>
      </c>
      <c r="H21" s="39">
        <f>Quices!E20*0.5+Quices!F20*0.5</f>
        <v>89</v>
      </c>
      <c r="I21" s="39">
        <v>100</v>
      </c>
      <c r="J21" s="35">
        <f t="shared" si="2"/>
        <v>104</v>
      </c>
      <c r="L21" s="85">
        <v>3</v>
      </c>
      <c r="M21" s="85" t="s">
        <v>148</v>
      </c>
    </row>
    <row r="22" spans="1:13" x14ac:dyDescent="0.2">
      <c r="A22" s="86" t="s">
        <v>112</v>
      </c>
      <c r="B22" s="39">
        <v>70</v>
      </c>
      <c r="C22" s="39">
        <v>0</v>
      </c>
      <c r="D22" s="35">
        <f t="shared" si="0"/>
        <v>70</v>
      </c>
      <c r="E22" s="39">
        <v>57</v>
      </c>
      <c r="F22" s="39">
        <v>0</v>
      </c>
      <c r="G22" s="35">
        <f t="shared" si="1"/>
        <v>57</v>
      </c>
      <c r="H22" s="39">
        <f>Quices!E21*0.5+Quices!F21*0.5</f>
        <v>71</v>
      </c>
      <c r="I22" s="39">
        <v>100</v>
      </c>
      <c r="J22" s="35">
        <f t="shared" si="2"/>
        <v>86</v>
      </c>
      <c r="L22" s="85">
        <v>1</v>
      </c>
      <c r="M22" s="85" t="s">
        <v>148</v>
      </c>
    </row>
    <row r="23" spans="1:13" ht="13.35" customHeight="1" x14ac:dyDescent="0.2">
      <c r="A23" s="86" t="s">
        <v>127</v>
      </c>
      <c r="B23" s="39">
        <v>89</v>
      </c>
      <c r="C23" s="39">
        <v>0</v>
      </c>
      <c r="D23" s="35">
        <f t="shared" si="0"/>
        <v>89</v>
      </c>
      <c r="E23" s="39">
        <v>98</v>
      </c>
      <c r="F23" s="39">
        <v>0</v>
      </c>
      <c r="G23" s="35">
        <f t="shared" si="1"/>
        <v>98</v>
      </c>
      <c r="H23" s="39">
        <f>Quices!E22*0.5+Quices!F22*0.5</f>
        <v>86</v>
      </c>
      <c r="I23" s="39">
        <v>100</v>
      </c>
      <c r="J23" s="35">
        <f t="shared" si="2"/>
        <v>101</v>
      </c>
      <c r="L23" s="85">
        <v>4</v>
      </c>
      <c r="M23" s="85" t="s">
        <v>148</v>
      </c>
    </row>
    <row r="24" spans="1:13" ht="13.35" customHeight="1" x14ac:dyDescent="0.2">
      <c r="A24" s="86" t="s">
        <v>128</v>
      </c>
      <c r="B24" s="39">
        <v>75</v>
      </c>
      <c r="C24" s="39">
        <v>0</v>
      </c>
      <c r="D24" s="35">
        <f t="shared" ref="D24:D27" si="3">B24+C24*0.1</f>
        <v>75</v>
      </c>
      <c r="E24" s="39">
        <v>82</v>
      </c>
      <c r="F24" s="39">
        <v>0</v>
      </c>
      <c r="G24" s="35">
        <f t="shared" ref="G24:G27" si="4">E24+F24*0.1</f>
        <v>82</v>
      </c>
      <c r="H24" s="39">
        <f>Quices!E23*0.5+Quices!F23*0.5</f>
        <v>86</v>
      </c>
      <c r="I24" s="39">
        <v>100</v>
      </c>
      <c r="J24" s="35">
        <f t="shared" si="2"/>
        <v>101</v>
      </c>
      <c r="L24" s="98">
        <v>4</v>
      </c>
      <c r="M24" s="85" t="s">
        <v>148</v>
      </c>
    </row>
    <row r="25" spans="1:13" ht="13.35" customHeight="1" x14ac:dyDescent="0.2">
      <c r="A25" s="86" t="s">
        <v>113</v>
      </c>
      <c r="B25" s="39">
        <v>76</v>
      </c>
      <c r="C25" s="39">
        <v>0</v>
      </c>
      <c r="D25" s="35">
        <f t="shared" si="3"/>
        <v>76</v>
      </c>
      <c r="E25" s="39">
        <v>58</v>
      </c>
      <c r="F25" s="39">
        <v>0</v>
      </c>
      <c r="G25" s="35">
        <f t="shared" si="4"/>
        <v>58</v>
      </c>
      <c r="H25" s="39">
        <f>Quices!E24*0.5+Quices!F24*0.5</f>
        <v>91</v>
      </c>
      <c r="I25" s="39">
        <v>100</v>
      </c>
      <c r="J25" s="35">
        <f t="shared" si="2"/>
        <v>106</v>
      </c>
      <c r="L25" s="100">
        <v>5</v>
      </c>
      <c r="M25" s="85" t="s">
        <v>148</v>
      </c>
    </row>
    <row r="26" spans="1:13" x14ac:dyDescent="0.2">
      <c r="A26" s="86" t="s">
        <v>114</v>
      </c>
      <c r="B26" s="39">
        <v>89</v>
      </c>
      <c r="C26" s="39">
        <v>0</v>
      </c>
      <c r="D26" s="35">
        <f t="shared" si="3"/>
        <v>89</v>
      </c>
      <c r="E26" s="39">
        <v>88</v>
      </c>
      <c r="F26" s="39">
        <v>0</v>
      </c>
      <c r="G26" s="35">
        <f t="shared" si="4"/>
        <v>88</v>
      </c>
      <c r="H26" s="39">
        <f>Quices!E25*0.5+Quices!F25*0.5</f>
        <v>86</v>
      </c>
      <c r="I26" s="39">
        <v>100</v>
      </c>
      <c r="J26" s="35">
        <f t="shared" si="2"/>
        <v>101</v>
      </c>
      <c r="L26" s="100">
        <v>2</v>
      </c>
      <c r="M26" s="85" t="s">
        <v>148</v>
      </c>
    </row>
    <row r="27" spans="1:13" x14ac:dyDescent="0.2">
      <c r="A27" s="86" t="s">
        <v>106</v>
      </c>
      <c r="B27" s="39">
        <v>71</v>
      </c>
      <c r="C27" s="39">
        <v>0</v>
      </c>
      <c r="D27" s="35">
        <f t="shared" si="3"/>
        <v>71</v>
      </c>
      <c r="E27" s="39">
        <v>95</v>
      </c>
      <c r="F27" s="39">
        <v>0</v>
      </c>
      <c r="G27" s="35">
        <f t="shared" si="4"/>
        <v>95</v>
      </c>
      <c r="H27" s="39">
        <f>Quices!E26*0.5+Quices!F26*0.5</f>
        <v>89</v>
      </c>
      <c r="I27" s="39">
        <v>100</v>
      </c>
      <c r="J27" s="35">
        <f t="shared" si="2"/>
        <v>104</v>
      </c>
      <c r="L27" s="100">
        <v>3</v>
      </c>
      <c r="M27" s="85" t="s">
        <v>148</v>
      </c>
    </row>
    <row r="28" spans="1:13" x14ac:dyDescent="0.2">
      <c r="A28" s="86" t="s">
        <v>108</v>
      </c>
      <c r="B28" s="39">
        <v>75</v>
      </c>
      <c r="C28" s="39">
        <v>0</v>
      </c>
      <c r="D28" s="35">
        <f t="shared" ref="D28" si="5">B28+C28*0.1</f>
        <v>75</v>
      </c>
      <c r="E28" s="39">
        <v>58</v>
      </c>
      <c r="F28" s="39">
        <v>0</v>
      </c>
      <c r="G28" s="35">
        <f t="shared" ref="G28" si="6">E28+F28*0.1</f>
        <v>58</v>
      </c>
      <c r="H28" s="39">
        <f>Quices!E27*0.5+Quices!F27*0.5</f>
        <v>91</v>
      </c>
      <c r="I28" s="39">
        <v>0</v>
      </c>
      <c r="J28" s="35">
        <f t="shared" si="2"/>
        <v>91</v>
      </c>
      <c r="L28" s="100">
        <v>5</v>
      </c>
      <c r="M28" s="85" t="s">
        <v>149</v>
      </c>
    </row>
    <row r="29" spans="1:13" x14ac:dyDescent="0.2">
      <c r="A29" s="24"/>
      <c r="B29" s="75">
        <f>AVERAGEIF(B5:B28,"&gt;0",B5:B28)</f>
        <v>76.217391304347828</v>
      </c>
      <c r="C29" s="75" t="e">
        <f>AVERAGEIF(C5:C28,"&gt;0",C5:C28)</f>
        <v>#DIV/0!</v>
      </c>
      <c r="D29" s="26">
        <f>AVERAGEIF(D5:D28,"&gt;0",D5:D28)</f>
        <v>76.217391304347828</v>
      </c>
      <c r="E29" s="5">
        <f>AVERAGEIF(E5:E28,"&gt;0",E5:E28)</f>
        <v>83.826086956521735</v>
      </c>
      <c r="F29" s="5">
        <f t="shared" ref="F29:G29" si="7">AVERAGE(F5:F28)</f>
        <v>0</v>
      </c>
      <c r="G29" s="26">
        <f t="shared" si="7"/>
        <v>80.333333333333329</v>
      </c>
      <c r="H29" s="5">
        <f>AVERAGEIF(H5:H28,"&gt;0",H5:H28)</f>
        <v>82.282608695652172</v>
      </c>
      <c r="I29" s="34">
        <f>AVERAGE(J5:J28)</f>
        <v>91.979166666666671</v>
      </c>
      <c r="J29" s="26">
        <f>AVERAGE(J5,J7:J21,J23:J28)</f>
        <v>91.704545454545453</v>
      </c>
      <c r="L29" s="99"/>
      <c r="M29" s="99"/>
    </row>
    <row r="30" spans="1:13" x14ac:dyDescent="0.2">
      <c r="A30" s="24"/>
    </row>
    <row r="31" spans="1:13" x14ac:dyDescent="0.2">
      <c r="A31" s="24"/>
      <c r="C31" s="16" t="s">
        <v>15</v>
      </c>
      <c r="D31" s="16" t="s">
        <v>16</v>
      </c>
      <c r="E31" s="16" t="s">
        <v>17</v>
      </c>
      <c r="F31" s="16" t="s">
        <v>19</v>
      </c>
      <c r="G31" s="16" t="s">
        <v>20</v>
      </c>
      <c r="H31" s="16" t="s">
        <v>21</v>
      </c>
      <c r="I31" s="32"/>
    </row>
    <row r="32" spans="1:13" x14ac:dyDescent="0.2">
      <c r="A32" s="24"/>
      <c r="C32" s="27" t="s">
        <v>23</v>
      </c>
      <c r="D32" s="7">
        <f>COUNTIF(B5:B28,"&lt;=50")</f>
        <v>1</v>
      </c>
      <c r="E32" s="7">
        <f>COUNTIF(B5:B28,"&lt;=60")-D32</f>
        <v>0</v>
      </c>
      <c r="F32" s="7">
        <f>COUNTIF(B5:B28,"&lt;=80")-SUM(D32:E32)</f>
        <v>17</v>
      </c>
      <c r="G32" s="7">
        <f>COUNTIF(B5:B28,"&lt;=90")-SUM(D32:F32)</f>
        <v>6</v>
      </c>
      <c r="H32" s="7">
        <f>COUNTIF(B5:B28,"&lt;=150")-SUM(D32:G32)</f>
        <v>0</v>
      </c>
      <c r="I32" s="33"/>
    </row>
    <row r="33" spans="1:10" x14ac:dyDescent="0.2">
      <c r="A33" s="24"/>
      <c r="C33" s="27" t="s">
        <v>24</v>
      </c>
      <c r="D33" s="7">
        <f>COUNTIF(E5:E28,"&lt;=50")</f>
        <v>1</v>
      </c>
      <c r="E33" s="7">
        <f>COUNTIF(E5:E28,"&lt;=60")-D33</f>
        <v>5</v>
      </c>
      <c r="F33" s="7">
        <f>COUNTIF(E5:E28,"&lt;=80")-SUM(D33:E33)</f>
        <v>0</v>
      </c>
      <c r="G33" s="7">
        <f>COUNTIF(E5:E28,"&lt;=90")-SUM(D33:F33)</f>
        <v>9</v>
      </c>
      <c r="H33" s="7">
        <f>COUNTIF(E5:E28,"&lt;=150")-SUM(D33:G33)</f>
        <v>9</v>
      </c>
      <c r="I33" s="33"/>
    </row>
    <row r="34" spans="1:10" x14ac:dyDescent="0.2">
      <c r="C34" s="27" t="s">
        <v>25</v>
      </c>
      <c r="D34" s="7">
        <f>COUNTIF(H5:H28,"&lt;=50")</f>
        <v>2</v>
      </c>
      <c r="E34" s="7">
        <f>COUNTIF(H5:H28,"&lt;=60")-D34</f>
        <v>0</v>
      </c>
      <c r="F34" s="7">
        <f>COUNTIF(H5:H28,"&lt;=80")-SUM(D34:E34)</f>
        <v>5</v>
      </c>
      <c r="G34" s="7">
        <f>COUNTIF(H5:H28,"&lt;=90")-SUM(D34:F34)</f>
        <v>13</v>
      </c>
      <c r="H34" s="7">
        <f>COUNTIF(H5:H28,"&lt;=150")-SUM(D34:G34)</f>
        <v>4</v>
      </c>
      <c r="I34" s="33"/>
    </row>
    <row r="35" spans="1:10" x14ac:dyDescent="0.2">
      <c r="B35" s="28"/>
      <c r="C35" s="28"/>
      <c r="D35" s="28"/>
      <c r="E35" s="28"/>
      <c r="F35" s="28"/>
      <c r="G35" s="28"/>
      <c r="H35" s="28"/>
      <c r="I35" s="28"/>
    </row>
    <row r="36" spans="1:10" x14ac:dyDescent="0.2">
      <c r="C36" s="37" t="s">
        <v>65</v>
      </c>
      <c r="D36" s="37"/>
      <c r="E36" s="37"/>
      <c r="F36" s="37"/>
      <c r="G36" s="37"/>
      <c r="H36" s="37"/>
      <c r="I36" s="28"/>
    </row>
    <row r="37" spans="1:10" x14ac:dyDescent="0.2">
      <c r="C37" s="126" t="s">
        <v>15</v>
      </c>
      <c r="D37" s="36"/>
      <c r="E37" s="36" t="s">
        <v>67</v>
      </c>
      <c r="F37" s="36"/>
      <c r="G37" s="36"/>
      <c r="H37" s="36"/>
      <c r="I37" s="28"/>
    </row>
    <row r="38" spans="1:10" x14ac:dyDescent="0.2">
      <c r="C38" s="126"/>
      <c r="D38" s="29" t="s">
        <v>68</v>
      </c>
      <c r="E38" s="29" t="s">
        <v>69</v>
      </c>
      <c r="F38" s="29" t="s">
        <v>70</v>
      </c>
      <c r="G38" s="29" t="s">
        <v>71</v>
      </c>
      <c r="H38" s="29" t="s">
        <v>72</v>
      </c>
      <c r="I38" s="28"/>
    </row>
    <row r="39" spans="1:10" x14ac:dyDescent="0.2">
      <c r="C39" s="27" t="s">
        <v>23</v>
      </c>
      <c r="D39" s="30">
        <f>MODE($B$5:$B$28)</f>
        <v>75</v>
      </c>
      <c r="E39" s="30">
        <f>AVERAGE($B$5:$B$28)</f>
        <v>73.041666666666671</v>
      </c>
      <c r="F39" s="30">
        <f>MAX($B$5:$B$28)-MIN($B$5:$B$28)</f>
        <v>89</v>
      </c>
      <c r="G39" s="30">
        <f>STDEV($B$5:$B$28)</f>
        <v>16.85869448415697</v>
      </c>
      <c r="H39" s="30">
        <f>VAR($B$5:$B$28)</f>
        <v>284.21557971014471</v>
      </c>
      <c r="I39" s="28"/>
    </row>
    <row r="40" spans="1:10" x14ac:dyDescent="0.2">
      <c r="C40" s="27" t="s">
        <v>24</v>
      </c>
      <c r="D40" s="30">
        <f>MODE($E$5:$E$28)</f>
        <v>90</v>
      </c>
      <c r="E40" s="30">
        <f>AVERAGE($E$5:$E$28)</f>
        <v>80.333333333333329</v>
      </c>
      <c r="F40" s="30">
        <f>MAX($E$5:$E$28)-MIN($E$5:$E$28)</f>
        <v>98</v>
      </c>
      <c r="G40" s="30">
        <f>STDEV($E$5:$E$28)</f>
        <v>22.545927361271051</v>
      </c>
      <c r="H40" s="30">
        <f>VAR($E$5:$E$28)</f>
        <v>508.31884057971058</v>
      </c>
      <c r="I40" s="28"/>
      <c r="J40" s="38"/>
    </row>
    <row r="41" spans="1:10" x14ac:dyDescent="0.2">
      <c r="C41" s="27" t="s">
        <v>25</v>
      </c>
      <c r="D41" s="30">
        <f>MODE($H$5:$H$19,$H$21:$H$28)</f>
        <v>86</v>
      </c>
      <c r="E41" s="30">
        <f>AVERAGE($H$5:$H$19,$H$21:$H$28)</f>
        <v>79.195652173913047</v>
      </c>
      <c r="F41" s="30">
        <f>MAX($H$5:$H$19,$H$21:$H$28)-MIN($H$5:$H$19,$H$21:$H$28)</f>
        <v>91</v>
      </c>
      <c r="G41" s="30">
        <f>STDEV($H$5:$H$19,$H$21:$H$28)</f>
        <v>20.721496924271857</v>
      </c>
      <c r="H41" s="30">
        <f>VAR($H$5:$H$19,$H$21:$H$28)</f>
        <v>429.38043478260806</v>
      </c>
      <c r="I41" s="28"/>
    </row>
  </sheetData>
  <sheetProtection selectLockedCells="1" selectUnlockedCells="1"/>
  <mergeCells count="6">
    <mergeCell ref="C37:C38"/>
    <mergeCell ref="A1:J1"/>
    <mergeCell ref="A3:A4"/>
    <mergeCell ref="B3:D3"/>
    <mergeCell ref="E3:G3"/>
    <mergeCell ref="H3:J3"/>
  </mergeCells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pane xSplit="1" ySplit="3" topLeftCell="B4" activePane="bottomRight" state="frozen"/>
      <selection pane="topRight" activeCell="C1" sqref="C1"/>
      <selection pane="bottomLeft" activeCell="A9" sqref="A9"/>
      <selection pane="bottomRight" activeCell="H22" sqref="H22"/>
    </sheetView>
  </sheetViews>
  <sheetFormatPr baseColWidth="10" defaultColWidth="11.42578125" defaultRowHeight="12.75" x14ac:dyDescent="0.2"/>
  <cols>
    <col min="1" max="10" width="8.7109375" style="60" customWidth="1"/>
    <col min="11" max="11" width="15.7109375" style="60" customWidth="1"/>
    <col min="12" max="16384" width="11.42578125" style="60"/>
  </cols>
  <sheetData>
    <row r="1" spans="1:11" ht="15.75" x14ac:dyDescent="0.25">
      <c r="A1" s="128" t="s">
        <v>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x14ac:dyDescent="0.2">
      <c r="A2" s="61"/>
      <c r="B2" s="62"/>
      <c r="C2" s="62"/>
      <c r="D2" s="63"/>
      <c r="E2" s="63"/>
      <c r="F2" s="63"/>
      <c r="G2" s="63"/>
      <c r="H2" s="63"/>
      <c r="I2" s="63"/>
      <c r="J2" s="63"/>
      <c r="K2" s="63"/>
    </row>
    <row r="3" spans="1:11" x14ac:dyDescent="0.2">
      <c r="A3" s="64" t="s">
        <v>1</v>
      </c>
      <c r="B3" s="87">
        <v>43546</v>
      </c>
      <c r="C3" s="87">
        <v>43550</v>
      </c>
      <c r="D3" s="87">
        <v>43567</v>
      </c>
      <c r="E3" s="96">
        <v>43602</v>
      </c>
      <c r="F3" s="96">
        <v>43606</v>
      </c>
      <c r="G3" s="96">
        <v>43623</v>
      </c>
      <c r="H3" s="65"/>
      <c r="I3" s="65"/>
      <c r="J3" s="65"/>
      <c r="K3" s="66" t="s">
        <v>47</v>
      </c>
    </row>
    <row r="4" spans="1:11" x14ac:dyDescent="0.2">
      <c r="A4" s="86" t="s">
        <v>115</v>
      </c>
      <c r="B4" s="88">
        <v>0</v>
      </c>
      <c r="C4" s="88">
        <v>0</v>
      </c>
      <c r="D4" s="88">
        <v>0</v>
      </c>
      <c r="E4" s="88">
        <v>0</v>
      </c>
      <c r="F4" s="88">
        <v>0</v>
      </c>
      <c r="G4" s="88">
        <v>0</v>
      </c>
      <c r="H4" s="67">
        <v>0</v>
      </c>
      <c r="I4" s="67">
        <v>0</v>
      </c>
      <c r="J4" s="67">
        <v>0</v>
      </c>
      <c r="K4" s="68">
        <f t="shared" ref="K4:K26" si="0">SUM(B4:J4)*2</f>
        <v>0</v>
      </c>
    </row>
    <row r="5" spans="1:11" x14ac:dyDescent="0.2">
      <c r="A5" s="86" t="s">
        <v>116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67">
        <v>0</v>
      </c>
      <c r="I5" s="67">
        <v>0</v>
      </c>
      <c r="J5" s="67">
        <v>0</v>
      </c>
      <c r="K5" s="68">
        <f t="shared" si="0"/>
        <v>0</v>
      </c>
    </row>
    <row r="6" spans="1:11" x14ac:dyDescent="0.2">
      <c r="A6" s="86" t="s">
        <v>117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67">
        <v>0</v>
      </c>
      <c r="I6" s="67">
        <v>0</v>
      </c>
      <c r="J6" s="67">
        <v>0</v>
      </c>
      <c r="K6" s="68">
        <f t="shared" si="0"/>
        <v>0</v>
      </c>
    </row>
    <row r="7" spans="1:11" x14ac:dyDescent="0.2">
      <c r="A7" s="86" t="s">
        <v>118</v>
      </c>
      <c r="B7" s="88">
        <v>0</v>
      </c>
      <c r="C7" s="88">
        <v>0</v>
      </c>
      <c r="D7" s="88">
        <v>0</v>
      </c>
      <c r="E7" s="88">
        <v>0</v>
      </c>
      <c r="F7" s="88">
        <v>1</v>
      </c>
      <c r="G7" s="88">
        <v>0</v>
      </c>
      <c r="H7" s="67">
        <v>0</v>
      </c>
      <c r="I7" s="67">
        <v>0</v>
      </c>
      <c r="J7" s="67">
        <v>0</v>
      </c>
      <c r="K7" s="68">
        <f t="shared" si="0"/>
        <v>2</v>
      </c>
    </row>
    <row r="8" spans="1:11" x14ac:dyDescent="0.2">
      <c r="A8" s="86" t="s">
        <v>119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67">
        <v>0</v>
      </c>
      <c r="I8" s="67">
        <v>0</v>
      </c>
      <c r="J8" s="67">
        <v>0</v>
      </c>
      <c r="K8" s="68">
        <f t="shared" si="0"/>
        <v>0</v>
      </c>
    </row>
    <row r="9" spans="1:11" x14ac:dyDescent="0.2">
      <c r="A9" s="86" t="s">
        <v>107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67">
        <v>0</v>
      </c>
      <c r="I9" s="67">
        <v>0</v>
      </c>
      <c r="J9" s="67">
        <v>0</v>
      </c>
      <c r="K9" s="68">
        <f t="shared" si="0"/>
        <v>0</v>
      </c>
    </row>
    <row r="10" spans="1:11" x14ac:dyDescent="0.2">
      <c r="A10" s="86" t="s">
        <v>135</v>
      </c>
      <c r="B10" s="88">
        <v>0</v>
      </c>
      <c r="C10" s="88">
        <v>0</v>
      </c>
      <c r="D10" s="88">
        <v>0</v>
      </c>
      <c r="E10" s="88">
        <v>0</v>
      </c>
      <c r="F10" s="88">
        <v>0</v>
      </c>
      <c r="G10" s="88">
        <v>0</v>
      </c>
      <c r="H10" s="67">
        <v>0</v>
      </c>
      <c r="I10" s="67">
        <v>0</v>
      </c>
      <c r="J10" s="67">
        <v>0</v>
      </c>
      <c r="K10" s="68">
        <f t="shared" si="0"/>
        <v>0</v>
      </c>
    </row>
    <row r="11" spans="1:11" x14ac:dyDescent="0.2">
      <c r="A11" s="86" t="s">
        <v>120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67">
        <v>0</v>
      </c>
      <c r="I11" s="67">
        <v>0</v>
      </c>
      <c r="J11" s="67">
        <v>0</v>
      </c>
      <c r="K11" s="68">
        <f t="shared" si="0"/>
        <v>0</v>
      </c>
    </row>
    <row r="12" spans="1:11" x14ac:dyDescent="0.2">
      <c r="A12" s="86" t="s">
        <v>109</v>
      </c>
      <c r="B12" s="88">
        <v>0</v>
      </c>
      <c r="C12" s="88">
        <v>0</v>
      </c>
      <c r="D12" s="88">
        <v>0</v>
      </c>
      <c r="E12" s="88">
        <v>0</v>
      </c>
      <c r="F12" s="88">
        <v>0</v>
      </c>
      <c r="G12" s="88">
        <v>0</v>
      </c>
      <c r="H12" s="67">
        <v>0</v>
      </c>
      <c r="I12" s="67">
        <v>0</v>
      </c>
      <c r="J12" s="67">
        <v>0</v>
      </c>
      <c r="K12" s="68">
        <f t="shared" si="0"/>
        <v>0</v>
      </c>
    </row>
    <row r="13" spans="1:11" x14ac:dyDescent="0.2">
      <c r="A13" s="86" t="s">
        <v>121</v>
      </c>
      <c r="B13" s="88">
        <v>0</v>
      </c>
      <c r="C13" s="88">
        <v>0</v>
      </c>
      <c r="D13" s="88">
        <v>0</v>
      </c>
      <c r="E13" s="88">
        <v>1</v>
      </c>
      <c r="F13" s="88">
        <v>0</v>
      </c>
      <c r="G13" s="88">
        <v>0</v>
      </c>
      <c r="H13" s="67">
        <v>0</v>
      </c>
      <c r="I13" s="67">
        <v>0</v>
      </c>
      <c r="J13" s="67">
        <v>0</v>
      </c>
      <c r="K13" s="68">
        <f t="shared" si="0"/>
        <v>2</v>
      </c>
    </row>
    <row r="14" spans="1:11" x14ac:dyDescent="0.2">
      <c r="A14" s="86" t="s">
        <v>122</v>
      </c>
      <c r="B14" s="88">
        <v>0</v>
      </c>
      <c r="C14" s="88">
        <v>0.5</v>
      </c>
      <c r="D14" s="88">
        <v>0</v>
      </c>
      <c r="E14" s="88">
        <v>0</v>
      </c>
      <c r="F14" s="88">
        <v>0</v>
      </c>
      <c r="G14" s="88">
        <v>0</v>
      </c>
      <c r="H14" s="67">
        <v>0</v>
      </c>
      <c r="I14" s="67">
        <v>0</v>
      </c>
      <c r="J14" s="67">
        <v>0</v>
      </c>
      <c r="K14" s="68">
        <f t="shared" si="0"/>
        <v>1</v>
      </c>
    </row>
    <row r="15" spans="1:11" x14ac:dyDescent="0.2">
      <c r="A15" s="86" t="s">
        <v>123</v>
      </c>
      <c r="B15" s="88">
        <v>0</v>
      </c>
      <c r="C15" s="88">
        <v>0</v>
      </c>
      <c r="D15" s="88">
        <v>0</v>
      </c>
      <c r="E15" s="88">
        <v>0</v>
      </c>
      <c r="F15" s="88">
        <v>1</v>
      </c>
      <c r="G15" s="88">
        <v>0</v>
      </c>
      <c r="H15" s="67">
        <v>0</v>
      </c>
      <c r="I15" s="67">
        <v>0</v>
      </c>
      <c r="J15" s="67">
        <v>0</v>
      </c>
      <c r="K15" s="68">
        <f t="shared" si="0"/>
        <v>2</v>
      </c>
    </row>
    <row r="16" spans="1:11" x14ac:dyDescent="0.2">
      <c r="A16" s="86" t="s">
        <v>124</v>
      </c>
      <c r="B16" s="88">
        <v>0</v>
      </c>
      <c r="C16" s="88">
        <v>0</v>
      </c>
      <c r="D16" s="88">
        <v>0</v>
      </c>
      <c r="E16" s="88">
        <v>0</v>
      </c>
      <c r="F16" s="88">
        <v>0</v>
      </c>
      <c r="G16" s="88">
        <v>0</v>
      </c>
      <c r="H16" s="67">
        <v>0</v>
      </c>
      <c r="I16" s="67">
        <v>0</v>
      </c>
      <c r="J16" s="67">
        <v>0</v>
      </c>
      <c r="K16" s="68">
        <f t="shared" si="0"/>
        <v>0</v>
      </c>
    </row>
    <row r="17" spans="1:11" x14ac:dyDescent="0.2">
      <c r="A17" s="86" t="s">
        <v>110</v>
      </c>
      <c r="B17" s="88">
        <v>0.5</v>
      </c>
      <c r="C17" s="88">
        <v>0</v>
      </c>
      <c r="D17" s="88">
        <v>1</v>
      </c>
      <c r="E17" s="88">
        <v>0</v>
      </c>
      <c r="F17" s="88">
        <v>0</v>
      </c>
      <c r="G17" s="88">
        <v>0</v>
      </c>
      <c r="H17" s="67">
        <v>0</v>
      </c>
      <c r="I17" s="67">
        <v>0</v>
      </c>
      <c r="J17" s="67">
        <v>0</v>
      </c>
      <c r="K17" s="68">
        <f>SUM(B17:J17)*2</f>
        <v>3</v>
      </c>
    </row>
    <row r="18" spans="1:11" x14ac:dyDescent="0.2">
      <c r="A18" s="86" t="s">
        <v>125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G18" s="88">
        <v>0</v>
      </c>
      <c r="H18" s="67">
        <v>0</v>
      </c>
      <c r="I18" s="67">
        <v>0</v>
      </c>
      <c r="J18" s="67">
        <v>0</v>
      </c>
      <c r="K18" s="68">
        <f t="shared" si="0"/>
        <v>0</v>
      </c>
    </row>
    <row r="19" spans="1:11" x14ac:dyDescent="0.2">
      <c r="A19" s="86" t="s">
        <v>111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67">
        <v>0</v>
      </c>
      <c r="I19" s="67">
        <v>0</v>
      </c>
      <c r="J19" s="67">
        <v>0</v>
      </c>
      <c r="K19" s="68">
        <f t="shared" si="0"/>
        <v>0</v>
      </c>
    </row>
    <row r="20" spans="1:11" x14ac:dyDescent="0.2">
      <c r="A20" s="86" t="s">
        <v>126</v>
      </c>
      <c r="B20" s="88">
        <v>1</v>
      </c>
      <c r="C20" s="88">
        <v>0</v>
      </c>
      <c r="D20" s="88">
        <v>0</v>
      </c>
      <c r="E20" s="88">
        <v>0</v>
      </c>
      <c r="F20" s="88">
        <v>0</v>
      </c>
      <c r="G20" s="88">
        <v>0</v>
      </c>
      <c r="H20" s="67">
        <v>0</v>
      </c>
      <c r="I20" s="67">
        <v>0</v>
      </c>
      <c r="J20" s="67">
        <v>0</v>
      </c>
      <c r="K20" s="68">
        <f t="shared" si="0"/>
        <v>2</v>
      </c>
    </row>
    <row r="21" spans="1:11" x14ac:dyDescent="0.2">
      <c r="A21" s="86" t="s">
        <v>112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67">
        <v>0</v>
      </c>
      <c r="I21" s="67">
        <v>0</v>
      </c>
      <c r="J21" s="67">
        <v>0</v>
      </c>
      <c r="K21" s="68">
        <f t="shared" si="0"/>
        <v>0</v>
      </c>
    </row>
    <row r="22" spans="1:11" x14ac:dyDescent="0.2">
      <c r="A22" s="86" t="s">
        <v>127</v>
      </c>
      <c r="B22" s="88">
        <v>0</v>
      </c>
      <c r="C22" s="88">
        <v>0</v>
      </c>
      <c r="D22" s="88">
        <v>0</v>
      </c>
      <c r="E22" s="88">
        <v>1</v>
      </c>
      <c r="F22" s="88">
        <v>0</v>
      </c>
      <c r="G22" s="88">
        <v>0</v>
      </c>
      <c r="H22" s="67">
        <v>0</v>
      </c>
      <c r="I22" s="67">
        <v>0</v>
      </c>
      <c r="J22" s="67">
        <v>0</v>
      </c>
      <c r="K22" s="68">
        <f t="shared" si="0"/>
        <v>2</v>
      </c>
    </row>
    <row r="23" spans="1:11" x14ac:dyDescent="0.2">
      <c r="A23" s="86" t="s">
        <v>128</v>
      </c>
      <c r="B23" s="88">
        <v>0</v>
      </c>
      <c r="C23" s="88">
        <v>0</v>
      </c>
      <c r="D23" s="88">
        <v>0</v>
      </c>
      <c r="E23" s="88">
        <v>1</v>
      </c>
      <c r="F23" s="88">
        <v>0</v>
      </c>
      <c r="G23" s="88">
        <v>0</v>
      </c>
      <c r="H23" s="67">
        <v>0</v>
      </c>
      <c r="I23" s="67">
        <v>0</v>
      </c>
      <c r="J23" s="67">
        <v>0</v>
      </c>
      <c r="K23" s="68">
        <f t="shared" si="0"/>
        <v>2</v>
      </c>
    </row>
    <row r="24" spans="1:11" x14ac:dyDescent="0.2">
      <c r="A24" s="86" t="s">
        <v>113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G24" s="88">
        <v>0.5</v>
      </c>
      <c r="H24" s="67">
        <v>0</v>
      </c>
      <c r="I24" s="67">
        <v>0</v>
      </c>
      <c r="J24" s="67">
        <v>0</v>
      </c>
      <c r="K24" s="68">
        <f t="shared" si="0"/>
        <v>1</v>
      </c>
    </row>
    <row r="25" spans="1:11" x14ac:dyDescent="0.2">
      <c r="A25" s="86" t="s">
        <v>114</v>
      </c>
      <c r="B25" s="88">
        <v>0</v>
      </c>
      <c r="C25" s="88">
        <v>0</v>
      </c>
      <c r="D25" s="88">
        <v>1</v>
      </c>
      <c r="E25" s="88">
        <v>0</v>
      </c>
      <c r="F25" s="88">
        <v>0</v>
      </c>
      <c r="G25" s="88">
        <v>0</v>
      </c>
      <c r="H25" s="67">
        <v>0</v>
      </c>
      <c r="I25" s="67">
        <v>0</v>
      </c>
      <c r="J25" s="67">
        <v>0</v>
      </c>
      <c r="K25" s="68">
        <f t="shared" si="0"/>
        <v>2</v>
      </c>
    </row>
    <row r="26" spans="1:11" x14ac:dyDescent="0.2">
      <c r="A26" s="86" t="s">
        <v>106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67">
        <v>0</v>
      </c>
      <c r="I26" s="67">
        <v>0</v>
      </c>
      <c r="J26" s="67">
        <v>0</v>
      </c>
      <c r="K26" s="68">
        <f t="shared" si="0"/>
        <v>0</v>
      </c>
    </row>
    <row r="27" spans="1:11" x14ac:dyDescent="0.2">
      <c r="A27" s="86" t="s">
        <v>108</v>
      </c>
      <c r="B27" s="88">
        <v>0</v>
      </c>
      <c r="C27" s="88">
        <v>0</v>
      </c>
      <c r="D27" s="88">
        <v>0</v>
      </c>
      <c r="E27" s="88">
        <v>0</v>
      </c>
      <c r="F27" s="88">
        <v>0</v>
      </c>
      <c r="G27" s="88">
        <v>0.5</v>
      </c>
      <c r="H27" s="67">
        <v>0</v>
      </c>
      <c r="I27" s="67">
        <v>0</v>
      </c>
      <c r="J27" s="67">
        <v>0</v>
      </c>
      <c r="K27" s="68">
        <f t="shared" ref="K27" si="1">SUM(B27:J27)*2</f>
        <v>1</v>
      </c>
    </row>
  </sheetData>
  <sheetProtection selectLockedCells="1" selectUnlockedCells="1"/>
  <mergeCells count="1">
    <mergeCell ref="A1:K1"/>
  </mergeCells>
  <pageMargins left="0.19652777777777777" right="0.19652777777777777" top="0.19652777777777777" bottom="0.19652777777777777" header="0.51180555555555551" footer="0.51180555555555551"/>
  <pageSetup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workbookViewId="0">
      <selection activeCell="EF50" sqref="EF50"/>
    </sheetView>
  </sheetViews>
  <sheetFormatPr baseColWidth="10" defaultColWidth="11.42578125" defaultRowHeight="12.75" x14ac:dyDescent="0.2"/>
  <sheetData>
    <row r="1" spans="1:256" x14ac:dyDescent="0.2">
      <c r="A1" t="e">
        <f>IF(Teoria!1:1,"AAAAAF/PHwA=",0)</f>
        <v>#VALUE!</v>
      </c>
      <c r="B1" t="e">
        <f>AND(Teoria!A1,"AAAAAF/PHwE=")</f>
        <v>#VALUE!</v>
      </c>
      <c r="C1" t="e">
        <f>AND(Teoria!#REF!,"AAAAAF/PHwI=")</f>
        <v>#REF!</v>
      </c>
      <c r="D1" t="e">
        <f>AND(Teoria!D1,"AAAAAF/PHwM=")</f>
        <v>#VALUE!</v>
      </c>
      <c r="E1" t="e">
        <f>AND(Teoria!E1,"AAAAAF/PHwQ=")</f>
        <v>#VALUE!</v>
      </c>
      <c r="F1" t="e">
        <f>AND(Teoria!F1,"AAAAAF/PHwU=")</f>
        <v>#VALUE!</v>
      </c>
      <c r="G1" t="e">
        <f>AND(Teoria!G1,"AAAAAF/PHwY=")</f>
        <v>#VALUE!</v>
      </c>
      <c r="H1" t="e">
        <f>AND(Teoria!J1,"AAAAAF/PHwc=")</f>
        <v>#VALUE!</v>
      </c>
      <c r="I1" t="e">
        <f>AND(Teoria!K1,"AAAAAF/PHwg=")</f>
        <v>#VALUE!</v>
      </c>
      <c r="J1" t="e">
        <f>AND(Teoria!L1,"AAAAAF/PHwk=")</f>
        <v>#VALUE!</v>
      </c>
      <c r="K1" t="e">
        <f>AND(Teoria!M1,"AAAAAF/PHwo=")</f>
        <v>#VALUE!</v>
      </c>
      <c r="L1" t="e">
        <f>AND(Teoria!P1,"AAAAAF/PHws=")</f>
        <v>#VALUE!</v>
      </c>
      <c r="M1" t="e">
        <f>AND(Teoria!Q1,"AAAAAF/PHww=")</f>
        <v>#VALUE!</v>
      </c>
      <c r="N1" t="e">
        <f>AND(Teoria!R1,"AAAAAF/PHw0=")</f>
        <v>#VALUE!</v>
      </c>
      <c r="O1">
        <f>IF(Teoria!2:2,"AAAAAF/PHw4=",0)</f>
        <v>0</v>
      </c>
      <c r="P1" t="e">
        <f>AND(Teoria!A2,"AAAAAF/PHw8=")</f>
        <v>#VALUE!</v>
      </c>
      <c r="Q1" t="e">
        <f>AND(Teoria!#REF!,"AAAAAF/PHxA=")</f>
        <v>#REF!</v>
      </c>
      <c r="R1" t="e">
        <f>AND(Teoria!D2,"AAAAAF/PHxE=")</f>
        <v>#VALUE!</v>
      </c>
      <c r="S1" t="e">
        <f>AND(Teoria!E2,"AAAAAF/PHxI=")</f>
        <v>#VALUE!</v>
      </c>
      <c r="T1" t="e">
        <f>AND(Teoria!F2,"AAAAAF/PHxM=")</f>
        <v>#VALUE!</v>
      </c>
      <c r="U1" t="e">
        <f>AND(Teoria!G2,"AAAAAF/PHxQ=")</f>
        <v>#VALUE!</v>
      </c>
      <c r="V1" t="e">
        <f>AND(Teoria!J2,"AAAAAF/PHxU=")</f>
        <v>#VALUE!</v>
      </c>
      <c r="W1" t="e">
        <f>AND(Teoria!K2,"AAAAAF/PHxY=")</f>
        <v>#VALUE!</v>
      </c>
      <c r="X1" t="e">
        <f>AND(Teoria!L2,"AAAAAF/PHxc=")</f>
        <v>#VALUE!</v>
      </c>
      <c r="Y1" t="e">
        <f>AND(Teoria!M2,"AAAAAF/PHxg=")</f>
        <v>#VALUE!</v>
      </c>
      <c r="Z1" t="e">
        <f>AND(Teoria!P2,"AAAAAF/PHxk=")</f>
        <v>#VALUE!</v>
      </c>
      <c r="AA1" t="e">
        <f>AND(Teoria!Q2,"AAAAAF/PHxo=")</f>
        <v>#VALUE!</v>
      </c>
      <c r="AB1" t="e">
        <f>AND(Teoria!R2,"AAAAAF/PHxs=")</f>
        <v>#VALUE!</v>
      </c>
      <c r="AC1">
        <f>IF(Teoria!3:3,"AAAAAF/PHxw=",0)</f>
        <v>0</v>
      </c>
      <c r="AD1" t="e">
        <f>AND(Teoria!A3,"AAAAAF/PHx0=")</f>
        <v>#VALUE!</v>
      </c>
      <c r="AE1" t="e">
        <f>AND(Teoria!#REF!,"AAAAAF/PHx4=")</f>
        <v>#REF!</v>
      </c>
      <c r="AF1" t="e">
        <f>AND(Teoria!D3,"AAAAAF/PHx8=")</f>
        <v>#VALUE!</v>
      </c>
      <c r="AG1" t="e">
        <f>AND(Teoria!E3,"AAAAAF/PHyA=")</f>
        <v>#VALUE!</v>
      </c>
      <c r="AH1" t="e">
        <f>AND(Teoria!F3,"AAAAAF/PHyE=")</f>
        <v>#VALUE!</v>
      </c>
      <c r="AI1" t="e">
        <f>AND(Teoria!G3,"AAAAAF/PHyI=")</f>
        <v>#VALUE!</v>
      </c>
      <c r="AJ1" t="e">
        <f>AND(Teoria!J3,"AAAAAF/PHyM=")</f>
        <v>#VALUE!</v>
      </c>
      <c r="AK1" t="e">
        <f>AND(Teoria!K3,"AAAAAF/PHyQ=")</f>
        <v>#VALUE!</v>
      </c>
      <c r="AL1" t="e">
        <f>AND(Teoria!L3,"AAAAAF/PHyU=")</f>
        <v>#VALUE!</v>
      </c>
      <c r="AM1" t="e">
        <f>AND(Teoria!M3,"AAAAAF/PHyY=")</f>
        <v>#VALUE!</v>
      </c>
      <c r="AN1" t="e">
        <f>AND(Teoria!P3,"AAAAAF/PHyc=")</f>
        <v>#VALUE!</v>
      </c>
      <c r="AO1" t="e">
        <f>AND(Teoria!Q3,"AAAAAF/PHyg=")</f>
        <v>#VALUE!</v>
      </c>
      <c r="AP1" t="e">
        <f>AND(Teoria!R3,"AAAAAF/PHyk=")</f>
        <v>#VALUE!</v>
      </c>
      <c r="AQ1">
        <f>IF(Teoria!4:4,"AAAAAF/PHyo=",0)</f>
        <v>0</v>
      </c>
      <c r="AR1" t="e">
        <f>AND(Teoria!A4,"AAAAAF/PHys=")</f>
        <v>#VALUE!</v>
      </c>
      <c r="AS1" t="e">
        <f>AND(Teoria!#REF!,"AAAAAF/PHyw=")</f>
        <v>#REF!</v>
      </c>
      <c r="AT1" t="e">
        <f>AND(Teoria!D4,"AAAAAF/PHy0=")</f>
        <v>#VALUE!</v>
      </c>
      <c r="AU1" t="e">
        <f>AND(Teoria!E4,"AAAAAF/PHy4=")</f>
        <v>#VALUE!</v>
      </c>
      <c r="AV1" t="e">
        <f>AND(Teoria!F4,"AAAAAF/PHy8=")</f>
        <v>#VALUE!</v>
      </c>
      <c r="AW1" t="e">
        <f>AND(Teoria!G4,"AAAAAF/PHzA=")</f>
        <v>#VALUE!</v>
      </c>
      <c r="AX1" t="e">
        <f>AND(Teoria!J4,"AAAAAF/PHzE=")</f>
        <v>#VALUE!</v>
      </c>
      <c r="AY1" t="e">
        <f>AND(Teoria!K4,"AAAAAF/PHzI=")</f>
        <v>#VALUE!</v>
      </c>
      <c r="AZ1" t="e">
        <f>AND(Teoria!L4,"AAAAAF/PHzM=")</f>
        <v>#VALUE!</v>
      </c>
      <c r="BA1" t="e">
        <f>AND(Teoria!M4,"AAAAAF/PHzQ=")</f>
        <v>#VALUE!</v>
      </c>
      <c r="BB1" t="e">
        <f>AND(Teoria!P4,"AAAAAF/PHzU=")</f>
        <v>#VALUE!</v>
      </c>
      <c r="BC1" t="e">
        <f>AND(Teoria!Q4,"AAAAAF/PHzY=")</f>
        <v>#VALUE!</v>
      </c>
      <c r="BD1" t="e">
        <f>AND(Teoria!R4,"AAAAAF/PHzc=")</f>
        <v>#VALUE!</v>
      </c>
      <c r="BE1">
        <f>IF(Teoria!5:5,"AAAAAF/PHzg=",0)</f>
        <v>0</v>
      </c>
      <c r="BF1" t="e">
        <f>AND(Teoria!A5,"AAAAAF/PHzk=")</f>
        <v>#VALUE!</v>
      </c>
      <c r="BG1" t="e">
        <f>AND(Teoria!#REF!,"AAAAAF/PHzo=")</f>
        <v>#REF!</v>
      </c>
      <c r="BH1" t="e">
        <f>AND(Teoria!D5,"AAAAAF/PHzs=")</f>
        <v>#VALUE!</v>
      </c>
      <c r="BI1" t="e">
        <f>AND(Teoria!E5,"AAAAAF/PHzw=")</f>
        <v>#VALUE!</v>
      </c>
      <c r="BJ1" t="e">
        <f>AND(Teoria!F5,"AAAAAF/PHz0=")</f>
        <v>#VALUE!</v>
      </c>
      <c r="BK1" t="e">
        <f>AND(Teoria!G5,"AAAAAF/PHz4=")</f>
        <v>#VALUE!</v>
      </c>
      <c r="BL1" t="e">
        <f>AND(Teoria!J5,"AAAAAF/PHz8=")</f>
        <v>#VALUE!</v>
      </c>
      <c r="BM1" t="e">
        <f>AND(Teoria!K5,"AAAAAF/PH0A=")</f>
        <v>#VALUE!</v>
      </c>
      <c r="BN1" t="e">
        <f>AND(Teoria!L5,"AAAAAF/PH0E=")</f>
        <v>#VALUE!</v>
      </c>
      <c r="BO1" t="e">
        <f>AND(Teoria!M5,"AAAAAF/PH0I=")</f>
        <v>#VALUE!</v>
      </c>
      <c r="BP1" t="e">
        <f>AND(Teoria!P5,"AAAAAF/PH0M=")</f>
        <v>#VALUE!</v>
      </c>
      <c r="BQ1" t="e">
        <f>AND(Teoria!Q5,"AAAAAF/PH0Q=")</f>
        <v>#VALUE!</v>
      </c>
      <c r="BR1" t="e">
        <f>AND(Teoria!R5,"AAAAAF/PH0U=")</f>
        <v>#VALUE!</v>
      </c>
      <c r="BS1">
        <f>IF(Teoria!6:6,"AAAAAF/PH0Y=",0)</f>
        <v>0</v>
      </c>
      <c r="BT1" t="e">
        <f>AND(Teoria!A6,"AAAAAF/PH0c=")</f>
        <v>#VALUE!</v>
      </c>
      <c r="BU1" t="e">
        <f>AND(Teoria!#REF!,"AAAAAF/PH0g=")</f>
        <v>#REF!</v>
      </c>
      <c r="BV1" t="e">
        <f>AND(Teoria!D6,"AAAAAF/PH0k=")</f>
        <v>#VALUE!</v>
      </c>
      <c r="BW1" t="e">
        <f>AND(Teoria!E6,"AAAAAF/PH0o=")</f>
        <v>#VALUE!</v>
      </c>
      <c r="BX1" t="e">
        <f>AND(Teoria!F6,"AAAAAF/PH0s=")</f>
        <v>#VALUE!</v>
      </c>
      <c r="BY1" t="e">
        <f>AND(Teoria!G6,"AAAAAF/PH0w=")</f>
        <v>#VALUE!</v>
      </c>
      <c r="BZ1" t="e">
        <f>AND(Teoria!J6,"AAAAAF/PH00=")</f>
        <v>#VALUE!</v>
      </c>
      <c r="CA1" t="e">
        <f>AND(Teoria!K6,"AAAAAF/PH04=")</f>
        <v>#VALUE!</v>
      </c>
      <c r="CB1" t="e">
        <f>AND(Teoria!L6,"AAAAAF/PH08=")</f>
        <v>#VALUE!</v>
      </c>
      <c r="CC1" t="e">
        <f>AND(Teoria!M6,"AAAAAF/PH1A=")</f>
        <v>#VALUE!</v>
      </c>
      <c r="CD1" t="e">
        <f>AND(Teoria!P6,"AAAAAF/PH1E=")</f>
        <v>#VALUE!</v>
      </c>
      <c r="CE1" t="e">
        <f>AND(Teoria!Q6,"AAAAAF/PH1I=")</f>
        <v>#VALUE!</v>
      </c>
      <c r="CF1" t="e">
        <f>AND(Teoria!R6,"AAAAAF/PH1M=")</f>
        <v>#VALUE!</v>
      </c>
      <c r="CG1">
        <f>IF(Teoria!7:7,"AAAAAF/PH1Q=",0)</f>
        <v>0</v>
      </c>
      <c r="CH1" t="e">
        <f>AND(Teoria!A7,"AAAAAF/PH1U=")</f>
        <v>#VALUE!</v>
      </c>
      <c r="CI1" t="e">
        <f>AND(Teoria!#REF!,"AAAAAF/PH1Y=")</f>
        <v>#REF!</v>
      </c>
      <c r="CJ1" t="e">
        <f>AND(Teoria!D7,"AAAAAF/PH1c=")</f>
        <v>#VALUE!</v>
      </c>
      <c r="CK1" t="e">
        <f>AND(Teoria!E7,"AAAAAF/PH1g=")</f>
        <v>#VALUE!</v>
      </c>
      <c r="CL1" t="e">
        <f>AND(Teoria!F7,"AAAAAF/PH1k=")</f>
        <v>#VALUE!</v>
      </c>
      <c r="CM1" t="e">
        <f>AND(Teoria!G7,"AAAAAF/PH1o=")</f>
        <v>#VALUE!</v>
      </c>
      <c r="CN1" t="e">
        <f>AND(Teoria!J7,"AAAAAF/PH1s=")</f>
        <v>#VALUE!</v>
      </c>
      <c r="CO1" t="e">
        <f>AND(Teoria!K7,"AAAAAF/PH1w=")</f>
        <v>#VALUE!</v>
      </c>
      <c r="CP1" t="e">
        <f>AND(Teoria!L7,"AAAAAF/PH10=")</f>
        <v>#VALUE!</v>
      </c>
      <c r="CQ1" t="e">
        <f>AND(Teoria!M7,"AAAAAF/PH14=")</f>
        <v>#VALUE!</v>
      </c>
      <c r="CR1" t="e">
        <f>AND(Teoria!P7,"AAAAAF/PH18=")</f>
        <v>#VALUE!</v>
      </c>
      <c r="CS1" t="e">
        <f>AND(Teoria!Q7,"AAAAAF/PH2A=")</f>
        <v>#VALUE!</v>
      </c>
      <c r="CT1" t="e">
        <f>AND(Teoria!R7,"AAAAAF/PH2E=")</f>
        <v>#VALUE!</v>
      </c>
      <c r="CU1">
        <f>IF(Teoria!8:8,"AAAAAF/PH2I=",0)</f>
        <v>0</v>
      </c>
      <c r="CV1" t="e">
        <f>AND(Teoria!A8,"AAAAAF/PH2M=")</f>
        <v>#VALUE!</v>
      </c>
      <c r="CW1" t="e">
        <f>AND(Teoria!#REF!,"AAAAAF/PH2Q=")</f>
        <v>#REF!</v>
      </c>
      <c r="CX1" t="e">
        <f>AND(Teoria!D8,"AAAAAF/PH2U=")</f>
        <v>#VALUE!</v>
      </c>
      <c r="CY1" t="e">
        <f>AND(Teoria!E8,"AAAAAF/PH2Y=")</f>
        <v>#VALUE!</v>
      </c>
      <c r="CZ1" t="e">
        <f>AND(Teoria!F8,"AAAAAF/PH2c=")</f>
        <v>#VALUE!</v>
      </c>
      <c r="DA1" t="e">
        <f>AND(Teoria!G8,"AAAAAF/PH2g=")</f>
        <v>#VALUE!</v>
      </c>
      <c r="DB1" t="e">
        <f>AND(Teoria!J8,"AAAAAF/PH2k=")</f>
        <v>#VALUE!</v>
      </c>
      <c r="DC1" t="e">
        <f>AND(Teoria!K8,"AAAAAF/PH2o=")</f>
        <v>#VALUE!</v>
      </c>
      <c r="DD1" t="e">
        <f>AND(Teoria!L8,"AAAAAF/PH2s=")</f>
        <v>#VALUE!</v>
      </c>
      <c r="DE1" t="e">
        <f>AND(Teoria!M8,"AAAAAF/PH2w=")</f>
        <v>#VALUE!</v>
      </c>
      <c r="DF1" t="e">
        <f>AND(Teoria!P8,"AAAAAF/PH20=")</f>
        <v>#VALUE!</v>
      </c>
      <c r="DG1" t="e">
        <f>AND(Teoria!Q8,"AAAAAF/PH24=")</f>
        <v>#VALUE!</v>
      </c>
      <c r="DH1" t="e">
        <f>AND(Teoria!R8,"AAAAAF/PH28=")</f>
        <v>#VALUE!</v>
      </c>
      <c r="DI1">
        <f>IF(Teoria!9:9,"AAAAAF/PH3A=",0)</f>
        <v>0</v>
      </c>
      <c r="DJ1" t="e">
        <f>AND(Teoria!A9,"AAAAAF/PH3E=")</f>
        <v>#VALUE!</v>
      </c>
      <c r="DK1" t="e">
        <f>AND(Teoria!#REF!,"AAAAAF/PH3I=")</f>
        <v>#REF!</v>
      </c>
      <c r="DL1" t="e">
        <f>AND(Teoria!D9,"AAAAAF/PH3M=")</f>
        <v>#VALUE!</v>
      </c>
      <c r="DM1" t="e">
        <f>AND(Teoria!E9,"AAAAAF/PH3Q=")</f>
        <v>#VALUE!</v>
      </c>
      <c r="DN1" t="e">
        <f>AND(Teoria!F9,"AAAAAF/PH3U=")</f>
        <v>#VALUE!</v>
      </c>
      <c r="DO1" t="e">
        <f>AND(Teoria!G9,"AAAAAF/PH3Y=")</f>
        <v>#VALUE!</v>
      </c>
      <c r="DP1" t="e">
        <f>AND(Teoria!J9,"AAAAAF/PH3c=")</f>
        <v>#VALUE!</v>
      </c>
      <c r="DQ1" t="e">
        <f>AND(Teoria!K9,"AAAAAF/PH3g=")</f>
        <v>#VALUE!</v>
      </c>
      <c r="DR1" t="e">
        <f>AND(Teoria!L9,"AAAAAF/PH3k=")</f>
        <v>#VALUE!</v>
      </c>
      <c r="DS1" t="e">
        <f>AND(Teoria!M9,"AAAAAF/PH3o=")</f>
        <v>#VALUE!</v>
      </c>
      <c r="DT1" t="e">
        <f>AND(Teoria!P9,"AAAAAF/PH3s=")</f>
        <v>#VALUE!</v>
      </c>
      <c r="DU1" t="e">
        <f>AND(Teoria!Q9,"AAAAAF/PH3w=")</f>
        <v>#VALUE!</v>
      </c>
      <c r="DV1" t="e">
        <f>AND(Teoria!R9,"AAAAAF/PH30=")</f>
        <v>#VALUE!</v>
      </c>
      <c r="DW1">
        <f>IF(Teoria!10:10,"AAAAAF/PH34=",0)</f>
        <v>0</v>
      </c>
      <c r="DX1" t="e">
        <f>AND(Teoria!A10,"AAAAAF/PH38=")</f>
        <v>#VALUE!</v>
      </c>
      <c r="DY1" t="e">
        <f>AND(Teoria!#REF!,"AAAAAF/PH4A=")</f>
        <v>#REF!</v>
      </c>
      <c r="DZ1" t="e">
        <f>AND(Teoria!D10,"AAAAAF/PH4E=")</f>
        <v>#VALUE!</v>
      </c>
      <c r="EA1" t="e">
        <f>AND(Teoria!E10,"AAAAAF/PH4I=")</f>
        <v>#VALUE!</v>
      </c>
      <c r="EB1" t="e">
        <f>AND(Teoria!F10,"AAAAAF/PH4M=")</f>
        <v>#VALUE!</v>
      </c>
      <c r="EC1" t="e">
        <f>AND(Teoria!G10,"AAAAAF/PH4Q=")</f>
        <v>#VALUE!</v>
      </c>
      <c r="ED1" t="e">
        <f>AND(Teoria!J10,"AAAAAF/PH4U=")</f>
        <v>#VALUE!</v>
      </c>
      <c r="EE1" t="e">
        <f>AND(Teoria!K10,"AAAAAF/PH4Y=")</f>
        <v>#VALUE!</v>
      </c>
      <c r="EF1" t="e">
        <f>AND(Teoria!L10,"AAAAAF/PH4c=")</f>
        <v>#VALUE!</v>
      </c>
      <c r="EG1" t="e">
        <f>AND(Teoria!M10,"AAAAAF/PH4g=")</f>
        <v>#VALUE!</v>
      </c>
      <c r="EH1" t="e">
        <f>AND(Teoria!P10,"AAAAAF/PH4k=")</f>
        <v>#VALUE!</v>
      </c>
      <c r="EI1" t="e">
        <f>AND(Teoria!Q10,"AAAAAF/PH4o=")</f>
        <v>#VALUE!</v>
      </c>
      <c r="EJ1" t="e">
        <f>AND(Teoria!R10,"AAAAAF/PH4s=")</f>
        <v>#VALUE!</v>
      </c>
      <c r="EK1">
        <f>IF(Teoria!11:11,"AAAAAF/PH4w=",0)</f>
        <v>0</v>
      </c>
      <c r="EL1" t="e">
        <f>AND(Teoria!A11,"AAAAAF/PH40=")</f>
        <v>#VALUE!</v>
      </c>
      <c r="EM1" t="e">
        <f>AND(Teoria!#REF!,"AAAAAF/PH44=")</f>
        <v>#REF!</v>
      </c>
      <c r="EN1" t="e">
        <f>AND(Teoria!D11,"AAAAAF/PH48=")</f>
        <v>#VALUE!</v>
      </c>
      <c r="EO1" t="e">
        <f>AND(Teoria!E11,"AAAAAF/PH5A=")</f>
        <v>#VALUE!</v>
      </c>
      <c r="EP1" t="e">
        <f>AND(Teoria!F11,"AAAAAF/PH5E=")</f>
        <v>#VALUE!</v>
      </c>
      <c r="EQ1" t="e">
        <f>AND(Teoria!G11,"AAAAAF/PH5I=")</f>
        <v>#VALUE!</v>
      </c>
      <c r="ER1" t="e">
        <f>AND(Teoria!J11,"AAAAAF/PH5M=")</f>
        <v>#VALUE!</v>
      </c>
      <c r="ES1" t="e">
        <f>AND(Teoria!K11,"AAAAAF/PH5Q=")</f>
        <v>#VALUE!</v>
      </c>
      <c r="ET1" t="e">
        <f>AND(Teoria!L11,"AAAAAF/PH5U=")</f>
        <v>#VALUE!</v>
      </c>
      <c r="EU1" t="e">
        <f>AND(Teoria!M11,"AAAAAF/PH5Y=")</f>
        <v>#VALUE!</v>
      </c>
      <c r="EV1" t="e">
        <f>AND(Teoria!P11,"AAAAAF/PH5c=")</f>
        <v>#VALUE!</v>
      </c>
      <c r="EW1" t="e">
        <f>AND(Teoria!Q11,"AAAAAF/PH5g=")</f>
        <v>#VALUE!</v>
      </c>
      <c r="EX1" t="e">
        <f>AND(Teoria!R11,"AAAAAF/PH5k=")</f>
        <v>#VALUE!</v>
      </c>
      <c r="EY1">
        <f>IF(Teoria!12:12,"AAAAAF/PH5o=",0)</f>
        <v>0</v>
      </c>
      <c r="EZ1" t="e">
        <f>AND(Teoria!A12,"AAAAAF/PH5s=")</f>
        <v>#VALUE!</v>
      </c>
      <c r="FA1" t="e">
        <f>AND(Teoria!#REF!,"AAAAAF/PH5w=")</f>
        <v>#REF!</v>
      </c>
      <c r="FB1" t="e">
        <f>AND(Teoria!D12,"AAAAAF/PH50=")</f>
        <v>#VALUE!</v>
      </c>
      <c r="FC1" t="e">
        <f>AND(Teoria!E12,"AAAAAF/PH54=")</f>
        <v>#VALUE!</v>
      </c>
      <c r="FD1" t="e">
        <f>AND(Teoria!F12,"AAAAAF/PH58=")</f>
        <v>#VALUE!</v>
      </c>
      <c r="FE1" t="e">
        <f>AND(Teoria!G12,"AAAAAF/PH6A=")</f>
        <v>#VALUE!</v>
      </c>
      <c r="FF1" t="e">
        <f>AND(Teoria!J12,"AAAAAF/PH6E=")</f>
        <v>#VALUE!</v>
      </c>
      <c r="FG1" t="e">
        <f>AND(Teoria!K12,"AAAAAF/PH6I=")</f>
        <v>#VALUE!</v>
      </c>
      <c r="FH1" t="e">
        <f>AND(Teoria!L12,"AAAAAF/PH6M=")</f>
        <v>#VALUE!</v>
      </c>
      <c r="FI1" t="e">
        <f>AND(Teoria!M12,"AAAAAF/PH6Q=")</f>
        <v>#VALUE!</v>
      </c>
      <c r="FJ1" t="e">
        <f>AND(Teoria!P12,"AAAAAF/PH6U=")</f>
        <v>#VALUE!</v>
      </c>
      <c r="FK1" t="e">
        <f>AND(Teoria!Q12,"AAAAAF/PH6Y=")</f>
        <v>#VALUE!</v>
      </c>
      <c r="FL1" t="e">
        <f>AND(Teoria!R12,"AAAAAF/PH6c=")</f>
        <v>#VALUE!</v>
      </c>
      <c r="FM1">
        <f>IF(Teoria!13:13,"AAAAAF/PH6g=",0)</f>
        <v>0</v>
      </c>
      <c r="FN1" t="e">
        <f>AND(Teoria!A13,"AAAAAF/PH6k=")</f>
        <v>#VALUE!</v>
      </c>
      <c r="FO1" t="e">
        <f>AND(Teoria!#REF!,"AAAAAF/PH6o=")</f>
        <v>#REF!</v>
      </c>
      <c r="FP1" t="e">
        <f>AND(Teoria!D13,"AAAAAF/PH6s=")</f>
        <v>#VALUE!</v>
      </c>
      <c r="FQ1" t="e">
        <f>AND(Teoria!E13,"AAAAAF/PH6w=")</f>
        <v>#VALUE!</v>
      </c>
      <c r="FR1" t="e">
        <f>AND(Teoria!F13,"AAAAAF/PH60=")</f>
        <v>#VALUE!</v>
      </c>
      <c r="FS1" t="e">
        <f>AND(Teoria!G13,"AAAAAF/PH64=")</f>
        <v>#VALUE!</v>
      </c>
      <c r="FT1" t="e">
        <f>AND(Teoria!J13,"AAAAAF/PH68=")</f>
        <v>#VALUE!</v>
      </c>
      <c r="FU1" t="e">
        <f>AND(Teoria!K13,"AAAAAF/PH7A=")</f>
        <v>#VALUE!</v>
      </c>
      <c r="FV1" t="e">
        <f>AND(Teoria!L13,"AAAAAF/PH7E=")</f>
        <v>#VALUE!</v>
      </c>
      <c r="FW1" t="e">
        <f>AND(Teoria!M13,"AAAAAF/PH7I=")</f>
        <v>#VALUE!</v>
      </c>
      <c r="FX1" t="e">
        <f>AND(Teoria!P13,"AAAAAF/PH7M=")</f>
        <v>#VALUE!</v>
      </c>
      <c r="FY1" t="e">
        <f>AND(Teoria!Q13,"AAAAAF/PH7Q=")</f>
        <v>#VALUE!</v>
      </c>
      <c r="FZ1" t="e">
        <f>AND(Teoria!R13,"AAAAAF/PH7U=")</f>
        <v>#VALUE!</v>
      </c>
      <c r="GA1">
        <f>IF(Teoria!14:14,"AAAAAF/PH7Y=",0)</f>
        <v>0</v>
      </c>
      <c r="GB1" t="e">
        <f>AND(Teoria!A14,"AAAAAF/PH7c=")</f>
        <v>#VALUE!</v>
      </c>
      <c r="GC1" t="e">
        <f>AND(Teoria!#REF!,"AAAAAF/PH7g=")</f>
        <v>#REF!</v>
      </c>
      <c r="GD1" t="e">
        <f>AND(Teoria!D14,"AAAAAF/PH7k=")</f>
        <v>#VALUE!</v>
      </c>
      <c r="GE1" t="e">
        <f>AND(Teoria!E14,"AAAAAF/PH7o=")</f>
        <v>#VALUE!</v>
      </c>
      <c r="GF1" t="e">
        <f>AND(Teoria!F14,"AAAAAF/PH7s=")</f>
        <v>#VALUE!</v>
      </c>
      <c r="GG1" t="e">
        <f>AND(Teoria!G14,"AAAAAF/PH7w=")</f>
        <v>#VALUE!</v>
      </c>
      <c r="GH1" t="e">
        <f>AND(Teoria!J14,"AAAAAF/PH70=")</f>
        <v>#VALUE!</v>
      </c>
      <c r="GI1" t="e">
        <f>AND(Teoria!K14,"AAAAAF/PH74=")</f>
        <v>#VALUE!</v>
      </c>
      <c r="GJ1" t="e">
        <f>AND(Teoria!L14,"AAAAAF/PH78=")</f>
        <v>#VALUE!</v>
      </c>
      <c r="GK1" t="e">
        <f>AND(Teoria!M14,"AAAAAF/PH8A=")</f>
        <v>#VALUE!</v>
      </c>
      <c r="GL1" t="e">
        <f>AND(Teoria!P14,"AAAAAF/PH8E=")</f>
        <v>#VALUE!</v>
      </c>
      <c r="GM1" t="e">
        <f>AND(Teoria!Q14,"AAAAAF/PH8I=")</f>
        <v>#VALUE!</v>
      </c>
      <c r="GN1" t="e">
        <f>AND(Teoria!R14,"AAAAAF/PH8M=")</f>
        <v>#VALUE!</v>
      </c>
      <c r="GO1">
        <f>IF(Teoria!15:15,"AAAAAF/PH8Q=",0)</f>
        <v>0</v>
      </c>
      <c r="GP1" t="e">
        <f>AND(Teoria!A15,"AAAAAF/PH8U=")</f>
        <v>#VALUE!</v>
      </c>
      <c r="GQ1" t="e">
        <f>AND(Teoria!#REF!,"AAAAAF/PH8Y=")</f>
        <v>#REF!</v>
      </c>
      <c r="GR1" t="e">
        <f>AND(Teoria!D15,"AAAAAF/PH8c=")</f>
        <v>#VALUE!</v>
      </c>
      <c r="GS1" t="e">
        <f>AND(Teoria!E15,"AAAAAF/PH8g=")</f>
        <v>#VALUE!</v>
      </c>
      <c r="GT1" t="e">
        <f>AND(Teoria!F15,"AAAAAF/PH8k=")</f>
        <v>#VALUE!</v>
      </c>
      <c r="GU1" t="e">
        <f>AND(Teoria!G15,"AAAAAF/PH8o=")</f>
        <v>#VALUE!</v>
      </c>
      <c r="GV1" t="e">
        <f>AND(Teoria!J15,"AAAAAF/PH8s=")</f>
        <v>#VALUE!</v>
      </c>
      <c r="GW1" t="e">
        <f>AND(Teoria!K15,"AAAAAF/PH8w=")</f>
        <v>#VALUE!</v>
      </c>
      <c r="GX1" t="e">
        <f>AND(Teoria!L15,"AAAAAF/PH80=")</f>
        <v>#VALUE!</v>
      </c>
      <c r="GY1" t="e">
        <f>AND(Teoria!M15,"AAAAAF/PH84=")</f>
        <v>#VALUE!</v>
      </c>
      <c r="GZ1" t="e">
        <f>AND(Teoria!P15,"AAAAAF/PH88=")</f>
        <v>#VALUE!</v>
      </c>
      <c r="HA1" t="e">
        <f>AND(Teoria!Q15,"AAAAAF/PH9A=")</f>
        <v>#VALUE!</v>
      </c>
      <c r="HB1" t="e">
        <f>AND(Teoria!R15,"AAAAAF/PH9E=")</f>
        <v>#VALUE!</v>
      </c>
      <c r="HC1">
        <f>IF(Teoria!16:16,"AAAAAF/PH9I=",0)</f>
        <v>0</v>
      </c>
      <c r="HD1" t="e">
        <f>AND(Teoria!A16,"AAAAAF/PH9M=")</f>
        <v>#VALUE!</v>
      </c>
      <c r="HE1" t="e">
        <f>AND(Teoria!#REF!,"AAAAAF/PH9Q=")</f>
        <v>#REF!</v>
      </c>
      <c r="HF1" t="e">
        <f>AND(Teoria!D16,"AAAAAF/PH9U=")</f>
        <v>#VALUE!</v>
      </c>
      <c r="HG1" t="e">
        <f>AND(Teoria!E16,"AAAAAF/PH9Y=")</f>
        <v>#VALUE!</v>
      </c>
      <c r="HH1" t="e">
        <f>AND(Teoria!F16,"AAAAAF/PH9c=")</f>
        <v>#VALUE!</v>
      </c>
      <c r="HI1" t="e">
        <f>AND(Teoria!G16,"AAAAAF/PH9g=")</f>
        <v>#VALUE!</v>
      </c>
      <c r="HJ1" t="e">
        <f>AND(Teoria!J16,"AAAAAF/PH9k=")</f>
        <v>#VALUE!</v>
      </c>
      <c r="HK1" t="e">
        <f>AND(Teoria!K16,"AAAAAF/PH9o=")</f>
        <v>#VALUE!</v>
      </c>
      <c r="HL1" t="e">
        <f>AND(Teoria!L16,"AAAAAF/PH9s=")</f>
        <v>#VALUE!</v>
      </c>
      <c r="HM1" t="e">
        <f>AND(Teoria!M16,"AAAAAF/PH9w=")</f>
        <v>#VALUE!</v>
      </c>
      <c r="HN1" t="e">
        <f>AND(Teoria!P16,"AAAAAF/PH90=")</f>
        <v>#VALUE!</v>
      </c>
      <c r="HO1" t="e">
        <f>AND(Teoria!Q16,"AAAAAF/PH94=")</f>
        <v>#VALUE!</v>
      </c>
      <c r="HP1" t="e">
        <f>AND(Teoria!R16,"AAAAAF/PH98=")</f>
        <v>#VALUE!</v>
      </c>
      <c r="HQ1">
        <f>IF(Teoria!17:17,"AAAAAF/PH+A=",0)</f>
        <v>0</v>
      </c>
      <c r="HR1" t="e">
        <f>AND(Teoria!A17,"AAAAAF/PH+E=")</f>
        <v>#VALUE!</v>
      </c>
      <c r="HS1" t="e">
        <f>AND(Teoria!#REF!,"AAAAAF/PH+I=")</f>
        <v>#REF!</v>
      </c>
      <c r="HT1" t="e">
        <f>AND(Teoria!D17,"AAAAAF/PH+M=")</f>
        <v>#VALUE!</v>
      </c>
      <c r="HU1" t="e">
        <f>AND(Teoria!E17,"AAAAAF/PH+Q=")</f>
        <v>#VALUE!</v>
      </c>
      <c r="HV1" t="e">
        <f>AND(Teoria!F17,"AAAAAF/PH+U=")</f>
        <v>#VALUE!</v>
      </c>
      <c r="HW1" t="e">
        <f>AND(Teoria!G17,"AAAAAF/PH+Y=")</f>
        <v>#VALUE!</v>
      </c>
      <c r="HX1" t="e">
        <f>AND(Teoria!J17,"AAAAAF/PH+c=")</f>
        <v>#VALUE!</v>
      </c>
      <c r="HY1" t="e">
        <f>AND(Teoria!K17,"AAAAAF/PH+g=")</f>
        <v>#VALUE!</v>
      </c>
      <c r="HZ1" t="e">
        <f>AND(Teoria!L17,"AAAAAF/PH+k=")</f>
        <v>#VALUE!</v>
      </c>
      <c r="IA1" t="e">
        <f>AND(Teoria!M17,"AAAAAF/PH+o=")</f>
        <v>#VALUE!</v>
      </c>
      <c r="IB1" t="e">
        <f>AND(Teoria!P17,"AAAAAF/PH+s=")</f>
        <v>#VALUE!</v>
      </c>
      <c r="IC1" t="e">
        <f>AND(Teoria!Q17,"AAAAAF/PH+w=")</f>
        <v>#VALUE!</v>
      </c>
      <c r="ID1" t="e">
        <f>AND(Teoria!R17,"AAAAAF/PH+0=")</f>
        <v>#VALUE!</v>
      </c>
      <c r="IE1">
        <f>IF(Teoria!18:18,"AAAAAF/PH+4=",0)</f>
        <v>0</v>
      </c>
      <c r="IF1" t="e">
        <f>AND(Teoria!A18,"AAAAAF/PH+8=")</f>
        <v>#VALUE!</v>
      </c>
      <c r="IG1" t="e">
        <f>AND(Teoria!#REF!,"AAAAAF/PH/A=")</f>
        <v>#REF!</v>
      </c>
      <c r="IH1" t="e">
        <f>AND(Teoria!D18,"AAAAAF/PH/E=")</f>
        <v>#VALUE!</v>
      </c>
      <c r="II1" t="e">
        <f>AND(Teoria!E18,"AAAAAF/PH/I=")</f>
        <v>#VALUE!</v>
      </c>
      <c r="IJ1" t="e">
        <f>AND(Teoria!F18,"AAAAAF/PH/M=")</f>
        <v>#VALUE!</v>
      </c>
      <c r="IK1" t="e">
        <f>AND(Teoria!G18,"AAAAAF/PH/Q=")</f>
        <v>#VALUE!</v>
      </c>
      <c r="IL1" t="e">
        <f>AND(Teoria!J18,"AAAAAF/PH/U=")</f>
        <v>#VALUE!</v>
      </c>
      <c r="IM1" t="e">
        <f>AND(Teoria!K18,"AAAAAF/PH/Y=")</f>
        <v>#VALUE!</v>
      </c>
      <c r="IN1" t="e">
        <f>AND(Teoria!L18,"AAAAAF/PH/c=")</f>
        <v>#VALUE!</v>
      </c>
      <c r="IO1" t="e">
        <f>AND(Teoria!M18,"AAAAAF/PH/g=")</f>
        <v>#VALUE!</v>
      </c>
      <c r="IP1" t="e">
        <f>AND(Teoria!P18,"AAAAAF/PH/k=")</f>
        <v>#VALUE!</v>
      </c>
      <c r="IQ1" t="e">
        <f>AND(Teoria!Q18,"AAAAAF/PH/o=")</f>
        <v>#VALUE!</v>
      </c>
      <c r="IR1" t="e">
        <f>AND(Teoria!R18,"AAAAAF/PH/s=")</f>
        <v>#VALUE!</v>
      </c>
      <c r="IS1">
        <f>IF(Teoria!19:19,"AAAAAF/PH/w=",0)</f>
        <v>0</v>
      </c>
      <c r="IT1" t="e">
        <f>AND(Teoria!A19,"AAAAAF/PH/0=")</f>
        <v>#VALUE!</v>
      </c>
      <c r="IU1" t="e">
        <f>AND(Teoria!#REF!,"AAAAAF/PH/4=")</f>
        <v>#REF!</v>
      </c>
      <c r="IV1" t="e">
        <f>AND(Teoria!D19,"AAAAAF/PH/8=")</f>
        <v>#VALUE!</v>
      </c>
    </row>
    <row r="2" spans="1:256" x14ac:dyDescent="0.2">
      <c r="A2" t="e">
        <f>AND(Teoria!E19,"AAAAADb1vwA=")</f>
        <v>#VALUE!</v>
      </c>
      <c r="B2" t="e">
        <f>AND(Teoria!F19,"AAAAADb1vwE=")</f>
        <v>#VALUE!</v>
      </c>
      <c r="C2" t="e">
        <f>AND(Teoria!G19,"AAAAADb1vwI=")</f>
        <v>#VALUE!</v>
      </c>
      <c r="D2" t="e">
        <f>AND(Teoria!J19,"AAAAADb1vwM=")</f>
        <v>#VALUE!</v>
      </c>
      <c r="E2" t="e">
        <f>AND(Teoria!K19,"AAAAADb1vwQ=")</f>
        <v>#VALUE!</v>
      </c>
      <c r="F2" t="e">
        <f>AND(Teoria!L19,"AAAAADb1vwU=")</f>
        <v>#VALUE!</v>
      </c>
      <c r="G2" t="e">
        <f>AND(Teoria!M19,"AAAAADb1vwY=")</f>
        <v>#VALUE!</v>
      </c>
      <c r="H2" t="e">
        <f>AND(Teoria!P19,"AAAAADb1vwc=")</f>
        <v>#VALUE!</v>
      </c>
      <c r="I2" t="e">
        <f>AND(Teoria!Q19,"AAAAADb1vwg=")</f>
        <v>#VALUE!</v>
      </c>
      <c r="J2" t="e">
        <f>AND(Teoria!R19,"AAAAADb1vwk=")</f>
        <v>#VALUE!</v>
      </c>
      <c r="K2" t="str">
        <f ca="1">IF(Teoria!20:20,"AAAAADb1vwo=",0)</f>
        <v>AAAAADb1vwo=</v>
      </c>
      <c r="L2" t="e">
        <f>AND(Teoria!A20,"AAAAADb1vws=")</f>
        <v>#VALUE!</v>
      </c>
      <c r="M2" t="e">
        <f>AND(Teoria!#REF!,"AAAAADb1vww=")</f>
        <v>#REF!</v>
      </c>
      <c r="N2" t="e">
        <f>AND(Teoria!D20,"AAAAADb1vw0=")</f>
        <v>#VALUE!</v>
      </c>
      <c r="O2" t="e">
        <f>AND(Teoria!E20,"AAAAADb1vw4=")</f>
        <v>#VALUE!</v>
      </c>
      <c r="P2" t="e">
        <f>AND(Teoria!F20,"AAAAADb1vw8=")</f>
        <v>#VALUE!</v>
      </c>
      <c r="Q2" t="e">
        <f>AND(Teoria!G20,"AAAAADb1vxA=")</f>
        <v>#VALUE!</v>
      </c>
      <c r="R2" t="e">
        <f>AND(Teoria!J20,"AAAAADb1vxE=")</f>
        <v>#VALUE!</v>
      </c>
      <c r="S2" t="e">
        <f>AND(Teoria!K20,"AAAAADb1vxI=")</f>
        <v>#VALUE!</v>
      </c>
      <c r="T2" t="e">
        <f>AND(Teoria!L20,"AAAAADb1vxM=")</f>
        <v>#VALUE!</v>
      </c>
      <c r="U2" t="e">
        <f>AND(Teoria!M20,"AAAAADb1vxQ=")</f>
        <v>#VALUE!</v>
      </c>
      <c r="V2" t="e">
        <f>AND(Teoria!P20,"AAAAADb1vxU=")</f>
        <v>#VALUE!</v>
      </c>
      <c r="W2" t="e">
        <f>AND(Teoria!Q20,"AAAAADb1vxY=")</f>
        <v>#VALUE!</v>
      </c>
      <c r="X2" t="e">
        <f>AND(Teoria!R20,"AAAAADb1vxc=")</f>
        <v>#VALUE!</v>
      </c>
      <c r="Y2">
        <f>IF(Teoria!21:21,"AAAAADb1vxg=",0)</f>
        <v>0</v>
      </c>
      <c r="Z2" t="e">
        <f>AND(Teoria!A21,"AAAAADb1vxk=")</f>
        <v>#VALUE!</v>
      </c>
      <c r="AA2" t="e">
        <f>AND(Teoria!#REF!,"AAAAADb1vxo=")</f>
        <v>#REF!</v>
      </c>
      <c r="AB2" t="e">
        <f>AND(Teoria!D21,"AAAAADb1vxs=")</f>
        <v>#VALUE!</v>
      </c>
      <c r="AC2" t="e">
        <f>AND(Teoria!E21,"AAAAADb1vxw=")</f>
        <v>#VALUE!</v>
      </c>
      <c r="AD2" t="e">
        <f>AND(Teoria!F21,"AAAAADb1vx0=")</f>
        <v>#VALUE!</v>
      </c>
      <c r="AE2" t="e">
        <f>AND(Teoria!G21,"AAAAADb1vx4=")</f>
        <v>#VALUE!</v>
      </c>
      <c r="AF2" t="e">
        <f>AND(Teoria!J21,"AAAAADb1vx8=")</f>
        <v>#VALUE!</v>
      </c>
      <c r="AG2" t="e">
        <f>AND(Teoria!K21,"AAAAADb1vyA=")</f>
        <v>#VALUE!</v>
      </c>
      <c r="AH2" t="e">
        <f>AND(Teoria!L21,"AAAAADb1vyE=")</f>
        <v>#VALUE!</v>
      </c>
      <c r="AI2" t="e">
        <f>AND(Teoria!M21,"AAAAADb1vyI=")</f>
        <v>#VALUE!</v>
      </c>
      <c r="AJ2" t="e">
        <f>AND(Teoria!P21,"AAAAADb1vyM=")</f>
        <v>#VALUE!</v>
      </c>
      <c r="AK2" t="e">
        <f>AND(Teoria!Q21,"AAAAADb1vyQ=")</f>
        <v>#VALUE!</v>
      </c>
      <c r="AL2" t="e">
        <f>AND(Teoria!R21,"AAAAADb1vyU=")</f>
        <v>#VALUE!</v>
      </c>
      <c r="AM2">
        <f>IF(Teoria!22:22,"AAAAADb1vyY=",0)</f>
        <v>0</v>
      </c>
      <c r="AN2" t="e">
        <f>AND(Teoria!A22,"AAAAADb1vyc=")</f>
        <v>#VALUE!</v>
      </c>
      <c r="AO2" t="e">
        <f>AND(Teoria!#REF!,"AAAAADb1vyg=")</f>
        <v>#REF!</v>
      </c>
      <c r="AP2" t="e">
        <f>AND(Teoria!D22,"AAAAADb1vyk=")</f>
        <v>#VALUE!</v>
      </c>
      <c r="AQ2" t="e">
        <f>AND(Teoria!E22,"AAAAADb1vyo=")</f>
        <v>#VALUE!</v>
      </c>
      <c r="AR2" t="e">
        <f>AND(Teoria!F22,"AAAAADb1vys=")</f>
        <v>#VALUE!</v>
      </c>
      <c r="AS2" t="e">
        <f>AND(Teoria!G22,"AAAAADb1vyw=")</f>
        <v>#VALUE!</v>
      </c>
      <c r="AT2" t="e">
        <f>AND(Teoria!J22,"AAAAADb1vy0=")</f>
        <v>#VALUE!</v>
      </c>
      <c r="AU2" t="e">
        <f>AND(Teoria!K22,"AAAAADb1vy4=")</f>
        <v>#VALUE!</v>
      </c>
      <c r="AV2" t="e">
        <f>AND(Teoria!L22,"AAAAADb1vy8=")</f>
        <v>#VALUE!</v>
      </c>
      <c r="AW2" t="e">
        <f>AND(Teoria!M22,"AAAAADb1vzA=")</f>
        <v>#VALUE!</v>
      </c>
      <c r="AX2" t="e">
        <f>AND(Teoria!P22,"AAAAADb1vzE=")</f>
        <v>#VALUE!</v>
      </c>
      <c r="AY2" t="e">
        <f>AND(Teoria!Q22,"AAAAADb1vzI=")</f>
        <v>#VALUE!</v>
      </c>
      <c r="AZ2" t="e">
        <f>AND(Teoria!R22,"AAAAADb1vzM=")</f>
        <v>#VALUE!</v>
      </c>
      <c r="BA2">
        <f>IF(Teoria!23:23,"AAAAADb1vzQ=",0)</f>
        <v>0</v>
      </c>
      <c r="BB2" t="e">
        <f>AND(Teoria!A23,"AAAAADb1vzU=")</f>
        <v>#VALUE!</v>
      </c>
      <c r="BC2" t="e">
        <f>AND(Teoria!#REF!,"AAAAADb1vzY=")</f>
        <v>#REF!</v>
      </c>
      <c r="BD2" t="e">
        <f>AND(Teoria!D23,"AAAAADb1vzc=")</f>
        <v>#VALUE!</v>
      </c>
      <c r="BE2" t="e">
        <f>AND(Teoria!E23,"AAAAADb1vzg=")</f>
        <v>#VALUE!</v>
      </c>
      <c r="BF2" t="e">
        <f>AND(Teoria!F23,"AAAAADb1vzk=")</f>
        <v>#VALUE!</v>
      </c>
      <c r="BG2" t="e">
        <f>AND(Teoria!G23,"AAAAADb1vzo=")</f>
        <v>#VALUE!</v>
      </c>
      <c r="BH2" t="e">
        <f>AND(Teoria!J23,"AAAAADb1vzs=")</f>
        <v>#VALUE!</v>
      </c>
      <c r="BI2" t="e">
        <f>AND(Teoria!K23,"AAAAADb1vzw=")</f>
        <v>#VALUE!</v>
      </c>
      <c r="BJ2" t="e">
        <f>AND(Teoria!L23,"AAAAADb1vz0=")</f>
        <v>#VALUE!</v>
      </c>
      <c r="BK2" t="e">
        <f>AND(Teoria!M23,"AAAAADb1vz4=")</f>
        <v>#VALUE!</v>
      </c>
      <c r="BL2" t="e">
        <f>AND(Teoria!P23,"AAAAADb1vz8=")</f>
        <v>#VALUE!</v>
      </c>
      <c r="BM2" t="e">
        <f>AND(Teoria!Q23,"AAAAADb1v0A=")</f>
        <v>#VALUE!</v>
      </c>
      <c r="BN2" t="e">
        <f>AND(Teoria!R23,"AAAAADb1v0E=")</f>
        <v>#VALUE!</v>
      </c>
      <c r="BO2">
        <f>IF(Teoria!24:24,"AAAAADb1v0I=",0)</f>
        <v>0</v>
      </c>
      <c r="BP2" t="e">
        <f>AND(Teoria!A24,"AAAAADb1v0M=")</f>
        <v>#VALUE!</v>
      </c>
      <c r="BQ2" t="e">
        <f>AND(Teoria!#REF!,"AAAAADb1v0Q=")</f>
        <v>#REF!</v>
      </c>
      <c r="BR2" t="e">
        <f>AND(Teoria!D24,"AAAAADb1v0U=")</f>
        <v>#VALUE!</v>
      </c>
      <c r="BS2" t="e">
        <f>AND(Teoria!E24,"AAAAADb1v0Y=")</f>
        <v>#VALUE!</v>
      </c>
      <c r="BT2" t="e">
        <f>AND(Teoria!F24,"AAAAADb1v0c=")</f>
        <v>#VALUE!</v>
      </c>
      <c r="BU2" t="e">
        <f>AND(Teoria!G24,"AAAAADb1v0g=")</f>
        <v>#VALUE!</v>
      </c>
      <c r="BV2" t="e">
        <f>AND(Teoria!J24,"AAAAADb1v0k=")</f>
        <v>#VALUE!</v>
      </c>
      <c r="BW2" t="e">
        <f>AND(Teoria!K24,"AAAAADb1v0o=")</f>
        <v>#VALUE!</v>
      </c>
      <c r="BX2" t="e">
        <f>AND(Teoria!L24,"AAAAADb1v0s=")</f>
        <v>#VALUE!</v>
      </c>
      <c r="BY2" t="e">
        <f>AND(Teoria!M24,"AAAAADb1v0w=")</f>
        <v>#VALUE!</v>
      </c>
      <c r="BZ2" t="e">
        <f>AND(Teoria!P24,"AAAAADb1v00=")</f>
        <v>#VALUE!</v>
      </c>
      <c r="CA2" t="e">
        <f>AND(Teoria!Q24,"AAAAADb1v04=")</f>
        <v>#VALUE!</v>
      </c>
      <c r="CB2" t="e">
        <f>AND(Teoria!R24,"AAAAADb1v08=")</f>
        <v>#VALUE!</v>
      </c>
      <c r="CC2">
        <f>IF(Teoria!25:25,"AAAAADb1v1A=",0)</f>
        <v>0</v>
      </c>
      <c r="CD2" t="e">
        <f>AND(Teoria!A25,"AAAAADb1v1E=")</f>
        <v>#VALUE!</v>
      </c>
      <c r="CE2" t="e">
        <f>AND(Teoria!#REF!,"AAAAADb1v1I=")</f>
        <v>#REF!</v>
      </c>
      <c r="CF2" t="e">
        <f>AND(Teoria!D25,"AAAAADb1v1M=")</f>
        <v>#VALUE!</v>
      </c>
      <c r="CG2" t="e">
        <f>AND(Teoria!E25,"AAAAADb1v1Q=")</f>
        <v>#VALUE!</v>
      </c>
      <c r="CH2" t="e">
        <f>AND(Teoria!F25,"AAAAADb1v1U=")</f>
        <v>#VALUE!</v>
      </c>
      <c r="CI2" t="e">
        <f>AND(Teoria!G25,"AAAAADb1v1Y=")</f>
        <v>#VALUE!</v>
      </c>
      <c r="CJ2" t="e">
        <f>AND(Teoria!J25,"AAAAADb1v1c=")</f>
        <v>#VALUE!</v>
      </c>
      <c r="CK2" t="e">
        <f>AND(Teoria!K25,"AAAAADb1v1g=")</f>
        <v>#VALUE!</v>
      </c>
      <c r="CL2" t="e">
        <f>AND(Teoria!L25,"AAAAADb1v1k=")</f>
        <v>#VALUE!</v>
      </c>
      <c r="CM2" t="e">
        <f>AND(Teoria!M25,"AAAAADb1v1o=")</f>
        <v>#VALUE!</v>
      </c>
      <c r="CN2" t="e">
        <f>AND(Teoria!P25,"AAAAADb1v1s=")</f>
        <v>#VALUE!</v>
      </c>
      <c r="CO2" t="e">
        <f>AND(Teoria!Q25,"AAAAADb1v1w=")</f>
        <v>#VALUE!</v>
      </c>
      <c r="CP2" t="e">
        <f>AND(Teoria!R25,"AAAAADb1v10=")</f>
        <v>#VALUE!</v>
      </c>
      <c r="CQ2">
        <f>IF(Teoria!26:26,"AAAAADb1v14=",0)</f>
        <v>0</v>
      </c>
      <c r="CR2" t="e">
        <f>AND(Teoria!A26,"AAAAADb1v18=")</f>
        <v>#VALUE!</v>
      </c>
      <c r="CS2" t="e">
        <f>AND(Teoria!#REF!,"AAAAADb1v2A=")</f>
        <v>#REF!</v>
      </c>
      <c r="CT2" t="e">
        <f>AND(Teoria!D26,"AAAAADb1v2E=")</f>
        <v>#VALUE!</v>
      </c>
      <c r="CU2" t="e">
        <f>AND(Teoria!E26,"AAAAADb1v2I=")</f>
        <v>#VALUE!</v>
      </c>
      <c r="CV2" t="e">
        <f>AND(Teoria!F26,"AAAAADb1v2M=")</f>
        <v>#VALUE!</v>
      </c>
      <c r="CW2" t="e">
        <f>AND(Teoria!G26,"AAAAADb1v2Q=")</f>
        <v>#VALUE!</v>
      </c>
      <c r="CX2" t="e">
        <f>AND(Teoria!J26,"AAAAADb1v2U=")</f>
        <v>#VALUE!</v>
      </c>
      <c r="CY2" t="e">
        <f>AND(Teoria!K26,"AAAAADb1v2Y=")</f>
        <v>#VALUE!</v>
      </c>
      <c r="CZ2" t="e">
        <f>AND(Teoria!L26,"AAAAADb1v2c=")</f>
        <v>#VALUE!</v>
      </c>
      <c r="DA2" t="e">
        <f>AND(Teoria!M26,"AAAAADb1v2g=")</f>
        <v>#VALUE!</v>
      </c>
      <c r="DB2" t="e">
        <f>AND(Teoria!P26,"AAAAADb1v2k=")</f>
        <v>#VALUE!</v>
      </c>
      <c r="DC2" t="e">
        <f>AND(Teoria!Q26,"AAAAADb1v2o=")</f>
        <v>#VALUE!</v>
      </c>
      <c r="DD2" t="e">
        <f>AND(Teoria!R26,"AAAAADb1v2s=")</f>
        <v>#VALUE!</v>
      </c>
      <c r="DE2">
        <f>IF(Teoria!33:33,"AAAAADb1v2w=",0)</f>
        <v>0</v>
      </c>
      <c r="DF2" t="e">
        <f>AND(Teoria!A30,"AAAAADb1v20=")</f>
        <v>#VALUE!</v>
      </c>
      <c r="DG2" t="e">
        <f>AND(Teoria!#REF!,"AAAAADb1v24=")</f>
        <v>#REF!</v>
      </c>
      <c r="DH2" t="e">
        <f>AND(Teoria!D33,"AAAAADb1v28=")</f>
        <v>#VALUE!</v>
      </c>
      <c r="DI2" t="e">
        <f>AND(Teoria!E33,"AAAAADb1v3A=")</f>
        <v>#VALUE!</v>
      </c>
      <c r="DJ2" t="e">
        <f>AND(Teoria!F33,"AAAAADb1v3E=")</f>
        <v>#VALUE!</v>
      </c>
      <c r="DK2" t="e">
        <f>AND(Teoria!G33,"AAAAADb1v3I=")</f>
        <v>#VALUE!</v>
      </c>
      <c r="DL2" t="e">
        <f>AND(Teoria!J33,"AAAAADb1v3M=")</f>
        <v>#VALUE!</v>
      </c>
      <c r="DM2" t="e">
        <f>AND(Teoria!K33,"AAAAADb1v3Q=")</f>
        <v>#VALUE!</v>
      </c>
      <c r="DN2" t="e">
        <f>AND(Teoria!L33,"AAAAADb1v3U=")</f>
        <v>#VALUE!</v>
      </c>
      <c r="DO2" t="e">
        <f>AND(Teoria!M33,"AAAAADb1v3Y=")</f>
        <v>#VALUE!</v>
      </c>
      <c r="DP2" t="e">
        <f>AND(Teoria!P33,"AAAAADb1v3c=")</f>
        <v>#VALUE!</v>
      </c>
      <c r="DQ2" t="e">
        <f>AND(Teoria!Q33,"AAAAADb1v3g=")</f>
        <v>#VALUE!</v>
      </c>
      <c r="DR2" t="e">
        <f>AND(Teoria!R33,"AAAAADb1v3k=")</f>
        <v>#VALUE!</v>
      </c>
      <c r="DS2">
        <f>IF(Teoria!34:34,"AAAAADb1v3o=",0)</f>
        <v>0</v>
      </c>
      <c r="DT2" t="e">
        <f>AND(Teoria!#REF!,"AAAAADb1v3s=")</f>
        <v>#REF!</v>
      </c>
      <c r="DU2" t="e">
        <f>AND(Teoria!#REF!,"AAAAADb1v3w=")</f>
        <v>#REF!</v>
      </c>
      <c r="DV2" t="e">
        <f>AND(Teoria!D34,"AAAAADb1v30=")</f>
        <v>#VALUE!</v>
      </c>
      <c r="DW2" t="e">
        <f>AND(Teoria!E34,"AAAAADb1v34=")</f>
        <v>#VALUE!</v>
      </c>
      <c r="DX2" t="e">
        <f>AND(Teoria!F34,"AAAAADb1v38=")</f>
        <v>#VALUE!</v>
      </c>
      <c r="DY2" t="e">
        <f>AND(Teoria!G34,"AAAAADb1v4A=")</f>
        <v>#VALUE!</v>
      </c>
      <c r="DZ2" t="e">
        <f>AND(Teoria!J34,"AAAAADb1v4E=")</f>
        <v>#VALUE!</v>
      </c>
      <c r="EA2" t="e">
        <f>AND(Teoria!K34,"AAAAADb1v4I=")</f>
        <v>#VALUE!</v>
      </c>
      <c r="EB2" t="e">
        <f>AND(Teoria!L34,"AAAAADb1v4M=")</f>
        <v>#VALUE!</v>
      </c>
      <c r="EC2" t="e">
        <f>AND(Teoria!M34,"AAAAADb1v4Q=")</f>
        <v>#VALUE!</v>
      </c>
      <c r="ED2" t="e">
        <f>AND(Teoria!P34,"AAAAADb1v4U=")</f>
        <v>#VALUE!</v>
      </c>
      <c r="EE2" t="e">
        <f>AND(Teoria!Q34,"AAAAADb1v4Y=")</f>
        <v>#VALUE!</v>
      </c>
      <c r="EF2" t="e">
        <f>AND(Teoria!R34,"AAAAADb1v4c=")</f>
        <v>#VALUE!</v>
      </c>
      <c r="EG2">
        <f>IF(Teoria!35:35,"AAAAADb1v4g=",0)</f>
        <v>0</v>
      </c>
      <c r="EH2" t="e">
        <f>AND(Teoria!A35,"AAAAADb1v4k=")</f>
        <v>#VALUE!</v>
      </c>
      <c r="EI2" t="e">
        <f>AND(Teoria!#REF!,"AAAAADb1v4o=")</f>
        <v>#REF!</v>
      </c>
      <c r="EJ2" t="e">
        <f>AND(Teoria!D35,"AAAAADb1v4s=")</f>
        <v>#VALUE!</v>
      </c>
      <c r="EK2" t="e">
        <f>AND(Teoria!E35,"AAAAADb1v4w=")</f>
        <v>#VALUE!</v>
      </c>
      <c r="EL2" t="e">
        <f>AND(Teoria!F35,"AAAAADb1v40=")</f>
        <v>#VALUE!</v>
      </c>
      <c r="EM2" t="e">
        <f>AND(Teoria!G35,"AAAAADb1v44=")</f>
        <v>#VALUE!</v>
      </c>
      <c r="EN2" t="e">
        <f>AND(Teoria!H35,"AAAAADb1v48=")</f>
        <v>#VALUE!</v>
      </c>
      <c r="EO2" t="e">
        <f>AND(Teoria!I35,"AAAAADb1v5A=")</f>
        <v>#VALUE!</v>
      </c>
      <c r="EP2" t="e">
        <f>AND(Teoria!J35,"AAAAADb1v5E=")</f>
        <v>#VALUE!</v>
      </c>
      <c r="EQ2" t="e">
        <f>AND(Teoria!K35,"AAAAADb1v5I=")</f>
        <v>#VALUE!</v>
      </c>
      <c r="ER2" t="e">
        <f>AND(Teoria!P35,"AAAAADb1v5M=")</f>
        <v>#VALUE!</v>
      </c>
      <c r="ES2" t="e">
        <f>AND(Teoria!Q35,"AAAAADb1v5Q=")</f>
        <v>#VALUE!</v>
      </c>
      <c r="ET2" t="e">
        <f>AND(Teoria!R35,"AAAAADb1v5U=")</f>
        <v>#VALUE!</v>
      </c>
      <c r="EU2">
        <f>IF(Teoria!36:36,"AAAAADb1v5Y=",0)</f>
        <v>0</v>
      </c>
      <c r="EV2" t="e">
        <f>AND(Teoria!A36,"AAAAADb1v5c=")</f>
        <v>#VALUE!</v>
      </c>
      <c r="EW2" t="e">
        <f>AND(Teoria!#REF!,"AAAAADb1v5g=")</f>
        <v>#REF!</v>
      </c>
      <c r="EX2" t="e">
        <f>AND(Teoria!D36,"AAAAADb1v5k=")</f>
        <v>#VALUE!</v>
      </c>
      <c r="EY2" t="e">
        <f>AND(Teoria!E36,"AAAAADb1v5o=")</f>
        <v>#VALUE!</v>
      </c>
      <c r="EZ2" t="e">
        <f>AND(Teoria!F36,"AAAAADb1v5s=")</f>
        <v>#VALUE!</v>
      </c>
      <c r="FA2" t="e">
        <f>AND(Teoria!G36,"AAAAADb1v5w=")</f>
        <v>#VALUE!</v>
      </c>
      <c r="FB2" t="e">
        <f>AND(Teoria!H36,"AAAAADb1v50=")</f>
        <v>#VALUE!</v>
      </c>
      <c r="FC2" t="e">
        <f>AND(Teoria!I36,"AAAAADb1v54=")</f>
        <v>#VALUE!</v>
      </c>
      <c r="FD2" t="e">
        <f>AND(Teoria!J36,"AAAAADb1v58=")</f>
        <v>#VALUE!</v>
      </c>
      <c r="FE2" t="e">
        <f>AND(Teoria!K36,"AAAAADb1v6A=")</f>
        <v>#VALUE!</v>
      </c>
      <c r="FF2" t="e">
        <f>AND(Teoria!P36,"AAAAADb1v6E=")</f>
        <v>#VALUE!</v>
      </c>
      <c r="FG2" t="e">
        <f>AND(Teoria!Q36,"AAAAADb1v6I=")</f>
        <v>#VALUE!</v>
      </c>
      <c r="FH2" t="e">
        <f>AND(Teoria!R36,"AAAAADb1v6M=")</f>
        <v>#VALUE!</v>
      </c>
      <c r="FI2">
        <f>IF(Teoria!37:37,"AAAAADb1v6Q=",0)</f>
        <v>0</v>
      </c>
      <c r="FJ2" t="e">
        <f>AND(Teoria!A37,"AAAAADb1v6U=")</f>
        <v>#VALUE!</v>
      </c>
      <c r="FK2" t="e">
        <f>AND(Teoria!#REF!,"AAAAADb1v6Y=")</f>
        <v>#REF!</v>
      </c>
      <c r="FL2" t="e">
        <f>AND(Teoria!D37,"AAAAADb1v6c=")</f>
        <v>#VALUE!</v>
      </c>
      <c r="FM2" t="e">
        <f>AND(Teoria!E37,"AAAAADb1v6g=")</f>
        <v>#VALUE!</v>
      </c>
      <c r="FN2" t="e">
        <f>AND(Teoria!F37,"AAAAADb1v6k=")</f>
        <v>#VALUE!</v>
      </c>
      <c r="FO2" t="e">
        <f>AND(Teoria!G37,"AAAAADb1v6o=")</f>
        <v>#VALUE!</v>
      </c>
      <c r="FP2" t="e">
        <f>AND(Teoria!H37,"AAAAADb1v6s=")</f>
        <v>#VALUE!</v>
      </c>
      <c r="FQ2" t="e">
        <f>AND(Teoria!I37,"AAAAADb1v6w=")</f>
        <v>#VALUE!</v>
      </c>
      <c r="FR2" t="e">
        <f>AND(Teoria!J37,"AAAAADb1v60=")</f>
        <v>#VALUE!</v>
      </c>
      <c r="FS2" t="e">
        <f>AND(Teoria!K37,"AAAAADb1v64=")</f>
        <v>#VALUE!</v>
      </c>
      <c r="FT2" t="e">
        <f>AND(Teoria!P37,"AAAAADb1v68=")</f>
        <v>#VALUE!</v>
      </c>
      <c r="FU2" t="e">
        <f>AND(Teoria!Q37,"AAAAADb1v7A=")</f>
        <v>#VALUE!</v>
      </c>
      <c r="FV2" t="e">
        <f>AND(Teoria!R37,"AAAAADb1v7E=")</f>
        <v>#VALUE!</v>
      </c>
      <c r="FW2">
        <f>IF(Teoria!38:38,"AAAAADb1v7I=",0)</f>
        <v>0</v>
      </c>
      <c r="FX2" t="e">
        <f>AND(Teoria!A38,"AAAAADb1v7M=")</f>
        <v>#VALUE!</v>
      </c>
      <c r="FY2" t="e">
        <f>AND(Teoria!#REF!,"AAAAADb1v7Q=")</f>
        <v>#REF!</v>
      </c>
      <c r="FZ2" t="e">
        <f>AND(Teoria!D38,"AAAAADb1v7U=")</f>
        <v>#VALUE!</v>
      </c>
      <c r="GA2" t="e">
        <f>AND(Teoria!E38,"AAAAADb1v7Y=")</f>
        <v>#VALUE!</v>
      </c>
      <c r="GB2" t="e">
        <f>AND(Teoria!F38,"AAAAADb1v7c=")</f>
        <v>#VALUE!</v>
      </c>
      <c r="GC2" t="e">
        <f>AND(Teoria!G38,"AAAAADb1v7g=")</f>
        <v>#VALUE!</v>
      </c>
      <c r="GD2" t="e">
        <f>AND(Teoria!H38,"AAAAADb1v7k=")</f>
        <v>#VALUE!</v>
      </c>
      <c r="GE2" t="e">
        <f>AND(Teoria!I38,"AAAAADb1v7o=")</f>
        <v>#VALUE!</v>
      </c>
      <c r="GF2" t="e">
        <f>AND(Teoria!J38,"AAAAADb1v7s=")</f>
        <v>#VALUE!</v>
      </c>
      <c r="GG2" t="e">
        <f>AND(Teoria!K38,"AAAAADb1v7w=")</f>
        <v>#VALUE!</v>
      </c>
      <c r="GH2" t="e">
        <f>AND(Teoria!P38,"AAAAADb1v70=")</f>
        <v>#VALUE!</v>
      </c>
      <c r="GI2" t="e">
        <f>AND(Teoria!Q38,"AAAAADb1v74=")</f>
        <v>#VALUE!</v>
      </c>
      <c r="GJ2" t="e">
        <f>AND(Teoria!R38,"AAAAADb1v78=")</f>
        <v>#VALUE!</v>
      </c>
      <c r="GK2">
        <f>IF(Teoria!39:39,"AAAAADb1v8A=",0)</f>
        <v>0</v>
      </c>
      <c r="GL2" t="e">
        <f>AND(Teoria!A39,"AAAAADb1v8E=")</f>
        <v>#VALUE!</v>
      </c>
      <c r="GM2" t="e">
        <f>AND(Teoria!#REF!,"AAAAADb1v8I=")</f>
        <v>#REF!</v>
      </c>
      <c r="GN2" t="e">
        <f>AND(Teoria!D39,"AAAAADb1v8M=")</f>
        <v>#VALUE!</v>
      </c>
      <c r="GO2" t="e">
        <f>AND(Teoria!E39,"AAAAADb1v8Q=")</f>
        <v>#VALUE!</v>
      </c>
      <c r="GP2" t="e">
        <f>AND(Teoria!F39,"AAAAADb1v8U=")</f>
        <v>#VALUE!</v>
      </c>
      <c r="GQ2" t="e">
        <f>AND(Teoria!G39,"AAAAADb1v8Y=")</f>
        <v>#VALUE!</v>
      </c>
      <c r="GR2" t="e">
        <f>AND(Teoria!H39,"AAAAADb1v8c=")</f>
        <v>#VALUE!</v>
      </c>
      <c r="GS2" t="e">
        <f>AND(Teoria!I39,"AAAAADb1v8g=")</f>
        <v>#VALUE!</v>
      </c>
      <c r="GT2" t="e">
        <f>AND(Teoria!J39,"AAAAADb1v8k=")</f>
        <v>#VALUE!</v>
      </c>
      <c r="GU2" t="e">
        <f>AND(Teoria!K39,"AAAAADb1v8o=")</f>
        <v>#VALUE!</v>
      </c>
      <c r="GV2" t="e">
        <f>AND(Teoria!P39,"AAAAADb1v8s=")</f>
        <v>#VALUE!</v>
      </c>
      <c r="GW2" t="e">
        <f>AND(Teoria!Q39,"AAAAADb1v8w=")</f>
        <v>#VALUE!</v>
      </c>
      <c r="GX2" t="e">
        <f>AND(Teoria!R39,"AAAAADb1v80=")</f>
        <v>#VALUE!</v>
      </c>
      <c r="GY2">
        <f>IF(Teoria!40:40,"AAAAADb1v84=",0)</f>
        <v>0</v>
      </c>
      <c r="GZ2" t="e">
        <f>AND(Teoria!A40,"AAAAADb1v88=")</f>
        <v>#VALUE!</v>
      </c>
      <c r="HA2" t="e">
        <f>AND(Teoria!#REF!,"AAAAADb1v9A=")</f>
        <v>#REF!</v>
      </c>
      <c r="HB2" t="e">
        <f>AND(Teoria!D40,"AAAAADb1v9E=")</f>
        <v>#VALUE!</v>
      </c>
      <c r="HC2" t="e">
        <f>AND(Teoria!E40,"AAAAADb1v9I=")</f>
        <v>#VALUE!</v>
      </c>
      <c r="HD2" t="e">
        <f>AND(Teoria!F40,"AAAAADb1v9M=")</f>
        <v>#VALUE!</v>
      </c>
      <c r="HE2" t="e">
        <f>AND(Teoria!G40,"AAAAADb1v9Q=")</f>
        <v>#VALUE!</v>
      </c>
      <c r="HF2" t="e">
        <f>AND(Teoria!H40,"AAAAADb1v9U=")</f>
        <v>#VALUE!</v>
      </c>
      <c r="HG2" t="e">
        <f>AND(Teoria!I40,"AAAAADb1v9Y=")</f>
        <v>#VALUE!</v>
      </c>
      <c r="HH2" t="e">
        <f>AND(Teoria!J40,"AAAAADb1v9c=")</f>
        <v>#VALUE!</v>
      </c>
      <c r="HI2" t="e">
        <f>AND(Teoria!K40,"AAAAADb1v9g=")</f>
        <v>#VALUE!</v>
      </c>
      <c r="HJ2" t="e">
        <f>AND(Teoria!P40,"AAAAADb1v9k=")</f>
        <v>#VALUE!</v>
      </c>
      <c r="HK2" t="e">
        <f>AND(Teoria!Q40,"AAAAADb1v9o=")</f>
        <v>#VALUE!</v>
      </c>
      <c r="HL2" t="e">
        <f>AND(Teoria!R40,"AAAAADb1v9s=")</f>
        <v>#VALUE!</v>
      </c>
      <c r="HM2">
        <f>IF(Teoria!41:41,"AAAAADb1v9w=",0)</f>
        <v>0</v>
      </c>
      <c r="HN2" t="e">
        <f>AND(Teoria!A41,"AAAAADb1v90=")</f>
        <v>#VALUE!</v>
      </c>
      <c r="HO2" t="e">
        <f>AND(Teoria!#REF!,"AAAAADb1v94=")</f>
        <v>#REF!</v>
      </c>
      <c r="HP2" t="e">
        <f>AND(Teoria!D41,"AAAAADb1v98=")</f>
        <v>#VALUE!</v>
      </c>
      <c r="HQ2" t="e">
        <f>AND(Teoria!E41,"AAAAADb1v+A=")</f>
        <v>#VALUE!</v>
      </c>
      <c r="HR2" t="e">
        <f>AND(Teoria!F41,"AAAAADb1v+E=")</f>
        <v>#VALUE!</v>
      </c>
      <c r="HS2" t="e">
        <f>AND(Teoria!G41,"AAAAADb1v+I=")</f>
        <v>#VALUE!</v>
      </c>
      <c r="HT2" t="e">
        <f>AND(Teoria!H41,"AAAAADb1v+M=")</f>
        <v>#VALUE!</v>
      </c>
      <c r="HU2" t="e">
        <f>AND(Teoria!I41,"AAAAADb1v+Q=")</f>
        <v>#VALUE!</v>
      </c>
      <c r="HV2" t="e">
        <f>AND(Teoria!J41,"AAAAADb1v+U=")</f>
        <v>#VALUE!</v>
      </c>
      <c r="HW2" t="e">
        <f>AND(Teoria!K41,"AAAAADb1v+Y=")</f>
        <v>#VALUE!</v>
      </c>
      <c r="HX2" t="e">
        <f>AND(Teoria!P41,"AAAAADb1v+c=")</f>
        <v>#VALUE!</v>
      </c>
      <c r="HY2" t="e">
        <f>AND(Teoria!Q41,"AAAAADb1v+g=")</f>
        <v>#VALUE!</v>
      </c>
      <c r="HZ2" t="e">
        <f>AND(Teoria!R41,"AAAAADb1v+k=")</f>
        <v>#VALUE!</v>
      </c>
      <c r="IA2">
        <f>IF(Teoria!42:42,"AAAAADb1v+o=",0)</f>
        <v>0</v>
      </c>
      <c r="IB2" t="e">
        <f>AND(Teoria!A42,"AAAAADb1v+s=")</f>
        <v>#VALUE!</v>
      </c>
      <c r="IC2" t="e">
        <f>AND(Teoria!#REF!,"AAAAADb1v+w=")</f>
        <v>#REF!</v>
      </c>
      <c r="ID2" t="e">
        <f>AND(Teoria!D42,"AAAAADb1v+0=")</f>
        <v>#VALUE!</v>
      </c>
      <c r="IE2" t="e">
        <f>AND(Teoria!E42,"AAAAADb1v+4=")</f>
        <v>#VALUE!</v>
      </c>
      <c r="IF2" t="e">
        <f>AND(Teoria!F42,"AAAAADb1v+8=")</f>
        <v>#VALUE!</v>
      </c>
      <c r="IG2" t="e">
        <f>AND(Teoria!G42,"AAAAADb1v/A=")</f>
        <v>#VALUE!</v>
      </c>
      <c r="IH2" t="e">
        <f>AND(Teoria!H42,"AAAAADb1v/E=")</f>
        <v>#VALUE!</v>
      </c>
      <c r="II2" t="e">
        <f>AND(Teoria!I42,"AAAAADb1v/I=")</f>
        <v>#VALUE!</v>
      </c>
      <c r="IJ2" t="e">
        <f>AND(Teoria!J42,"AAAAADb1v/M=")</f>
        <v>#VALUE!</v>
      </c>
      <c r="IK2" t="e">
        <f>AND(Teoria!K42,"AAAAADb1v/Q=")</f>
        <v>#VALUE!</v>
      </c>
      <c r="IL2" t="e">
        <f>AND(Teoria!P42,"AAAAADb1v/U=")</f>
        <v>#VALUE!</v>
      </c>
      <c r="IM2" t="e">
        <f>AND(Teoria!Q42,"AAAAADb1v/Y=")</f>
        <v>#VALUE!</v>
      </c>
      <c r="IN2" t="e">
        <f>AND(Teoria!R42,"AAAAADb1v/c=")</f>
        <v>#VALUE!</v>
      </c>
      <c r="IO2">
        <f>IF(Teoria!43:43,"AAAAADb1v/g=",0)</f>
        <v>0</v>
      </c>
      <c r="IP2" t="e">
        <f>AND(Teoria!A43,"AAAAADb1v/k=")</f>
        <v>#VALUE!</v>
      </c>
      <c r="IQ2" t="e">
        <f>AND(Teoria!#REF!,"AAAAADb1v/o=")</f>
        <v>#REF!</v>
      </c>
      <c r="IR2" t="e">
        <f>AND(Teoria!D43,"AAAAADb1v/s=")</f>
        <v>#VALUE!</v>
      </c>
      <c r="IS2" t="e">
        <f>AND(Teoria!E43,"AAAAADb1v/w=")</f>
        <v>#VALUE!</v>
      </c>
      <c r="IT2" t="e">
        <f>AND(Teoria!F43,"AAAAADb1v/0=")</f>
        <v>#VALUE!</v>
      </c>
      <c r="IU2" t="e">
        <f>AND(Teoria!G43,"AAAAADb1v/4=")</f>
        <v>#VALUE!</v>
      </c>
      <c r="IV2" t="e">
        <f>AND(Teoria!J43,"AAAAADb1v/8=")</f>
        <v>#VALUE!</v>
      </c>
    </row>
    <row r="3" spans="1:256" x14ac:dyDescent="0.2">
      <c r="A3" t="e">
        <f>AND(Teoria!K43,"AAAAAFvT7wA=")</f>
        <v>#VALUE!</v>
      </c>
      <c r="B3" t="e">
        <f>AND(Teoria!L43,"AAAAAFvT7wE=")</f>
        <v>#VALUE!</v>
      </c>
      <c r="C3" t="e">
        <f>AND(Teoria!M43,"AAAAAFvT7wI=")</f>
        <v>#VALUE!</v>
      </c>
      <c r="D3" t="e">
        <f>AND(Teoria!P43,"AAAAAFvT7wM=")</f>
        <v>#VALUE!</v>
      </c>
      <c r="E3" t="e">
        <f>AND(Teoria!Q43,"AAAAAFvT7wQ=")</f>
        <v>#VALUE!</v>
      </c>
      <c r="F3" t="e">
        <f>AND(Teoria!R43,"AAAAAFvT7wU=")</f>
        <v>#VALUE!</v>
      </c>
      <c r="G3">
        <f>IF(Teoria!44:44,"AAAAAFvT7wY=",0)</f>
        <v>0</v>
      </c>
      <c r="H3" t="e">
        <f>AND(Teoria!A44,"AAAAAFvT7wc=")</f>
        <v>#VALUE!</v>
      </c>
      <c r="I3" t="e">
        <f>AND(Teoria!#REF!,"AAAAAFvT7wg=")</f>
        <v>#REF!</v>
      </c>
      <c r="J3" t="e">
        <f>AND(Teoria!D44,"AAAAAFvT7wk=")</f>
        <v>#VALUE!</v>
      </c>
      <c r="K3" t="e">
        <f>AND(Teoria!E44,"AAAAAFvT7wo=")</f>
        <v>#VALUE!</v>
      </c>
      <c r="L3" t="e">
        <f>AND(Teoria!F44,"AAAAAFvT7ws=")</f>
        <v>#VALUE!</v>
      </c>
      <c r="M3" t="e">
        <f>AND(Teoria!G44,"AAAAAFvT7ww=")</f>
        <v>#VALUE!</v>
      </c>
      <c r="N3" t="e">
        <f>AND(Teoria!J44,"AAAAAFvT7w0=")</f>
        <v>#VALUE!</v>
      </c>
      <c r="O3" t="e">
        <f>AND(Teoria!K44,"AAAAAFvT7w4=")</f>
        <v>#VALUE!</v>
      </c>
      <c r="P3" t="e">
        <f>AND(Teoria!L44,"AAAAAFvT7w8=")</f>
        <v>#VALUE!</v>
      </c>
      <c r="Q3" t="e">
        <f>AND(Teoria!M44,"AAAAAFvT7xA=")</f>
        <v>#VALUE!</v>
      </c>
      <c r="R3" t="e">
        <f>AND(Teoria!P44,"AAAAAFvT7xE=")</f>
        <v>#VALUE!</v>
      </c>
      <c r="S3" t="e">
        <f>AND(Teoria!Q44,"AAAAAFvT7xI=")</f>
        <v>#VALUE!</v>
      </c>
      <c r="T3" t="e">
        <f>AND(Teoria!R44,"AAAAAFvT7xM=")</f>
        <v>#VALUE!</v>
      </c>
      <c r="U3" t="e">
        <f>IF(Teoria!A:A,"AAAAAFvT7xQ=",0)</f>
        <v>#VALUE!</v>
      </c>
      <c r="V3" t="e">
        <f>IF(Teoria!#REF!,"AAAAAFvT7xU=",0)</f>
        <v>#REF!</v>
      </c>
      <c r="W3">
        <f>IF(Teoria!D:D,"AAAAAFvT7xY=",0)</f>
        <v>0</v>
      </c>
      <c r="X3">
        <f>IF(Teoria!E:E,"AAAAAFvT7xc=",0)</f>
        <v>0</v>
      </c>
      <c r="Y3">
        <f>IF(Teoria!F:F,"AAAAAFvT7xg=",0)</f>
        <v>0</v>
      </c>
      <c r="Z3">
        <f>IF(Teoria!G:G,"AAAAAFvT7xk=",0)</f>
        <v>0</v>
      </c>
      <c r="AA3">
        <f>IF(Teoria!J:J,"AAAAAFvT7xo=",0)</f>
        <v>0</v>
      </c>
      <c r="AB3">
        <f>IF(Teoria!K:K,"AAAAAFvT7xs=",0)</f>
        <v>0</v>
      </c>
      <c r="AC3">
        <f>IF(Teoria!L:L,"AAAAAFvT7xw=",0)</f>
        <v>0</v>
      </c>
      <c r="AD3">
        <f>IF(Teoria!M:M,"AAAAAFvT7x0=",0)</f>
        <v>0</v>
      </c>
      <c r="AE3">
        <f>IF(Teoria!P:P,"AAAAAFvT7x4=",0)</f>
        <v>0</v>
      </c>
      <c r="AF3">
        <f>IF(Teoria!Q:Q,"AAAAAFvT7x8=",0)</f>
        <v>0</v>
      </c>
      <c r="AG3">
        <f>IF(Teoria!R:R,"AAAAAFvT7yA=",0)</f>
        <v>0</v>
      </c>
      <c r="AH3" t="e">
        <f>IF(Quices!#REF!,"AAAAAFvT7yE=",0)</f>
        <v>#REF!</v>
      </c>
      <c r="AI3" t="e">
        <f>AND(Quices!#REF!,"AAAAAFvT7yI=")</f>
        <v>#REF!</v>
      </c>
      <c r="AJ3" t="e">
        <f>AND(Quices!#REF!,"AAAAAFvT7yM=")</f>
        <v>#REF!</v>
      </c>
      <c r="AK3" t="e">
        <f>AND(Quices!#REF!,"AAAAAFvT7yQ=")</f>
        <v>#REF!</v>
      </c>
      <c r="AL3" t="e">
        <f>AND(Quices!#REF!,"AAAAAFvT7yU=")</f>
        <v>#REF!</v>
      </c>
      <c r="AM3" t="e">
        <f>AND(Quices!#REF!,"AAAAAFvT7yY=")</f>
        <v>#REF!</v>
      </c>
      <c r="AN3" t="e">
        <f>AND(Quices!#REF!,"AAAAAFvT7yc=")</f>
        <v>#REF!</v>
      </c>
      <c r="AO3" t="e">
        <f>AND(Quices!#REF!,"AAAAAFvT7yg=")</f>
        <v>#REF!</v>
      </c>
      <c r="AP3" t="e">
        <f>AND(Quices!#REF!,"AAAAAFvT7yk=")</f>
        <v>#REF!</v>
      </c>
      <c r="AQ3" t="e">
        <f>AND(Quices!#REF!,"AAAAAFvT7yo=")</f>
        <v>#REF!</v>
      </c>
      <c r="AR3" t="e">
        <f>AND(Quices!#REF!,"AAAAAFvT7ys=")</f>
        <v>#REF!</v>
      </c>
      <c r="AS3" t="e">
        <f>IF(Quices!#REF!,"AAAAAFvT7yw=",0)</f>
        <v>#REF!</v>
      </c>
      <c r="AT3" t="e">
        <f>AND(Quices!#REF!,"AAAAAFvT7y0=")</f>
        <v>#REF!</v>
      </c>
      <c r="AU3" t="e">
        <f>AND(Quices!#REF!,"AAAAAFvT7y4=")</f>
        <v>#REF!</v>
      </c>
      <c r="AV3" t="e">
        <f>AND(Quices!#REF!,"AAAAAFvT7y8=")</f>
        <v>#REF!</v>
      </c>
      <c r="AW3" t="e">
        <f>AND(Quices!#REF!,"AAAAAFvT7zA=")</f>
        <v>#REF!</v>
      </c>
      <c r="AX3" t="e">
        <f>AND(Quices!#REF!,"AAAAAFvT7zE=")</f>
        <v>#REF!</v>
      </c>
      <c r="AY3" t="e">
        <f>AND(Quices!#REF!,"AAAAAFvT7zI=")</f>
        <v>#REF!</v>
      </c>
      <c r="AZ3" t="e">
        <f>AND(Quices!#REF!,"AAAAAFvT7zM=")</f>
        <v>#REF!</v>
      </c>
      <c r="BA3" t="e">
        <f>AND(Quices!#REF!,"AAAAAFvT7zQ=")</f>
        <v>#REF!</v>
      </c>
      <c r="BB3" t="e">
        <f>AND(Quices!#REF!,"AAAAAFvT7zU=")</f>
        <v>#REF!</v>
      </c>
      <c r="BC3" t="e">
        <f>AND(Quices!#REF!,"AAAAAFvT7zY=")</f>
        <v>#REF!</v>
      </c>
      <c r="BD3" t="e">
        <f>IF(Quices!#REF!,"AAAAAFvT7zc=",0)</f>
        <v>#REF!</v>
      </c>
      <c r="BE3" t="e">
        <f>AND(Quices!#REF!,"AAAAAFvT7zg=")</f>
        <v>#REF!</v>
      </c>
      <c r="BF3" t="e">
        <f>AND(Quices!#REF!,"AAAAAFvT7zk=")</f>
        <v>#REF!</v>
      </c>
      <c r="BG3" t="e">
        <f>AND(Quices!#REF!,"AAAAAFvT7zo=")</f>
        <v>#REF!</v>
      </c>
      <c r="BH3" t="e">
        <f>AND(Quices!#REF!,"AAAAAFvT7zs=")</f>
        <v>#REF!</v>
      </c>
      <c r="BI3" t="e">
        <f>AND(Quices!#REF!,"AAAAAFvT7zw=")</f>
        <v>#REF!</v>
      </c>
      <c r="BJ3" t="e">
        <f>AND(Quices!#REF!,"AAAAAFvT7z0=")</f>
        <v>#REF!</v>
      </c>
      <c r="BK3" t="e">
        <f>AND(Quices!#REF!,"AAAAAFvT7z4=")</f>
        <v>#REF!</v>
      </c>
      <c r="BL3" t="e">
        <f>AND(Quices!#REF!,"AAAAAFvT7z8=")</f>
        <v>#REF!</v>
      </c>
      <c r="BM3" t="e">
        <f>AND(Quices!#REF!,"AAAAAFvT70A=")</f>
        <v>#REF!</v>
      </c>
      <c r="BN3" t="e">
        <f>AND(Quices!#REF!,"AAAAAFvT70E=")</f>
        <v>#REF!</v>
      </c>
      <c r="BO3" t="e">
        <f>IF(Quices!#REF!,"AAAAAFvT70I=",0)</f>
        <v>#REF!</v>
      </c>
      <c r="BP3" t="e">
        <f>AND(Quices!#REF!,"AAAAAFvT70M=")</f>
        <v>#REF!</v>
      </c>
      <c r="BQ3" t="e">
        <f>AND(Quices!#REF!,"AAAAAFvT70Q=")</f>
        <v>#REF!</v>
      </c>
      <c r="BR3" t="e">
        <f>AND(Quices!#REF!,"AAAAAFvT70U=")</f>
        <v>#REF!</v>
      </c>
      <c r="BS3" t="e">
        <f>AND(Quices!#REF!,"AAAAAFvT70Y=")</f>
        <v>#REF!</v>
      </c>
      <c r="BT3" t="e">
        <f>AND(Quices!#REF!,"AAAAAFvT70c=")</f>
        <v>#REF!</v>
      </c>
      <c r="BU3" t="e">
        <f>AND(Quices!#REF!,"AAAAAFvT70g=")</f>
        <v>#REF!</v>
      </c>
      <c r="BV3" t="e">
        <f>AND(Quices!#REF!,"AAAAAFvT70k=")</f>
        <v>#REF!</v>
      </c>
      <c r="BW3" t="e">
        <f>AND(Quices!#REF!,"AAAAAFvT70o=")</f>
        <v>#REF!</v>
      </c>
      <c r="BX3" t="e">
        <f>AND(Quices!#REF!,"AAAAAFvT70s=")</f>
        <v>#REF!</v>
      </c>
      <c r="BY3" t="e">
        <f>AND(Quices!#REF!,"AAAAAFvT70w=")</f>
        <v>#REF!</v>
      </c>
      <c r="BZ3" t="e">
        <f>IF(Quices!#REF!,"AAAAAFvT700=",0)</f>
        <v>#REF!</v>
      </c>
      <c r="CA3" t="e">
        <f>AND(Quices!#REF!,"AAAAAFvT704=")</f>
        <v>#REF!</v>
      </c>
      <c r="CB3" t="e">
        <f>AND(Quices!#REF!,"AAAAAFvT708=")</f>
        <v>#REF!</v>
      </c>
      <c r="CC3" t="e">
        <f>AND(Quices!#REF!,"AAAAAFvT71A=")</f>
        <v>#REF!</v>
      </c>
      <c r="CD3" t="e">
        <f>AND(Quices!#REF!,"AAAAAFvT71E=")</f>
        <v>#REF!</v>
      </c>
      <c r="CE3" t="e">
        <f>AND(Quices!#REF!,"AAAAAFvT71I=")</f>
        <v>#REF!</v>
      </c>
      <c r="CF3" t="e">
        <f>AND(Quices!#REF!,"AAAAAFvT71M=")</f>
        <v>#REF!</v>
      </c>
      <c r="CG3" t="e">
        <f>AND(Quices!#REF!,"AAAAAFvT71Q=")</f>
        <v>#REF!</v>
      </c>
      <c r="CH3" t="e">
        <f>AND(Quices!#REF!,"AAAAAFvT71U=")</f>
        <v>#REF!</v>
      </c>
      <c r="CI3" t="e">
        <f>AND(Quices!#REF!,"AAAAAFvT71Y=")</f>
        <v>#REF!</v>
      </c>
      <c r="CJ3" t="e">
        <f>AND(Quices!#REF!,"AAAAAFvT71c=")</f>
        <v>#REF!</v>
      </c>
      <c r="CK3">
        <f>IF(Quices!1:1,"AAAAAFvT71g=",0)</f>
        <v>0</v>
      </c>
      <c r="CL3" t="e">
        <f>AND(Quices!A1,"AAAAAFvT71k=")</f>
        <v>#VALUE!</v>
      </c>
      <c r="CM3" t="e">
        <f>AND(Quices!#REF!,"AAAAAFvT71o=")</f>
        <v>#REF!</v>
      </c>
      <c r="CN3" t="e">
        <f>AND(Quices!B1,"AAAAAFvT71s=")</f>
        <v>#VALUE!</v>
      </c>
      <c r="CO3" t="e">
        <f>AND(Quices!C1,"AAAAAFvT71w=")</f>
        <v>#VALUE!</v>
      </c>
      <c r="CP3" t="e">
        <f>AND(Quices!D1,"AAAAAFvT710=")</f>
        <v>#VALUE!</v>
      </c>
      <c r="CQ3" t="e">
        <f>AND(Quices!E1,"AAAAAFvT714=")</f>
        <v>#VALUE!</v>
      </c>
      <c r="CR3" t="e">
        <f>AND(Quices!#REF!,"AAAAAFvT718=")</f>
        <v>#REF!</v>
      </c>
      <c r="CS3" t="e">
        <f>AND(Quices!#REF!,"AAAAAFvT72A=")</f>
        <v>#REF!</v>
      </c>
      <c r="CT3" t="e">
        <f>AND(Quices!#REF!,"AAAAAFvT72E=")</f>
        <v>#REF!</v>
      </c>
      <c r="CU3" t="e">
        <f>AND(Quices!G1,"AAAAAFvT72I=")</f>
        <v>#VALUE!</v>
      </c>
      <c r="CV3">
        <f>IF(Quices!2:2,"AAAAAFvT72M=",0)</f>
        <v>0</v>
      </c>
      <c r="CW3" t="e">
        <f>AND(Quices!A2,"AAAAAFvT72Q=")</f>
        <v>#VALUE!</v>
      </c>
      <c r="CX3" t="e">
        <f>AND(Quices!#REF!,"AAAAAFvT72U=")</f>
        <v>#REF!</v>
      </c>
      <c r="CY3" t="e">
        <f>AND(Quices!B2,"AAAAAFvT72Y=")</f>
        <v>#VALUE!</v>
      </c>
      <c r="CZ3" t="e">
        <f>AND(Quices!C2,"AAAAAFvT72c=")</f>
        <v>#VALUE!</v>
      </c>
      <c r="DA3" t="e">
        <f>AND(Quices!D2,"AAAAAFvT72g=")</f>
        <v>#VALUE!</v>
      </c>
      <c r="DB3" t="e">
        <f>AND(Quices!E2,"AAAAAFvT72k=")</f>
        <v>#VALUE!</v>
      </c>
      <c r="DC3" t="e">
        <f>AND(Quices!#REF!,"AAAAAFvT72o=")</f>
        <v>#REF!</v>
      </c>
      <c r="DD3" t="e">
        <f>AND(Quices!#REF!,"AAAAAFvT72s=")</f>
        <v>#REF!</v>
      </c>
      <c r="DE3" t="e">
        <f>AND(Quices!#REF!,"AAAAAFvT72w=")</f>
        <v>#REF!</v>
      </c>
      <c r="DF3" t="e">
        <f>AND(Quices!G2,"AAAAAFvT720=")</f>
        <v>#VALUE!</v>
      </c>
      <c r="DG3">
        <f>IF(Quices!3:3,"AAAAAFvT724=",0)</f>
        <v>0</v>
      </c>
      <c r="DH3" t="e">
        <f>AND(Quices!A3,"AAAAAFvT728=")</f>
        <v>#VALUE!</v>
      </c>
      <c r="DI3" t="e">
        <f>AND(Quices!#REF!,"AAAAAFvT73A=")</f>
        <v>#REF!</v>
      </c>
      <c r="DJ3" t="e">
        <f>AND(Quices!B3,"AAAAAFvT73E=")</f>
        <v>#VALUE!</v>
      </c>
      <c r="DK3" t="e">
        <f>AND(Quices!C3,"AAAAAFvT73I=")</f>
        <v>#VALUE!</v>
      </c>
      <c r="DL3" t="e">
        <f>AND(Quices!D3,"AAAAAFvT73M=")</f>
        <v>#VALUE!</v>
      </c>
      <c r="DM3" t="e">
        <f>AND(Quices!E3,"AAAAAFvT73Q=")</f>
        <v>#VALUE!</v>
      </c>
      <c r="DN3" t="e">
        <f>AND(Quices!#REF!,"AAAAAFvT73U=")</f>
        <v>#REF!</v>
      </c>
      <c r="DO3" t="e">
        <f>AND(Quices!#REF!,"AAAAAFvT73Y=")</f>
        <v>#REF!</v>
      </c>
      <c r="DP3" t="e">
        <f>AND(Quices!#REF!,"AAAAAFvT73c=")</f>
        <v>#REF!</v>
      </c>
      <c r="DQ3" t="e">
        <f>AND(Quices!G3,"AAAAAFvT73g=")</f>
        <v>#VALUE!</v>
      </c>
      <c r="DR3">
        <f>IF(Quices!4:4,"AAAAAFvT73k=",0)</f>
        <v>0</v>
      </c>
      <c r="DS3" t="e">
        <f>AND(Quices!A4,"AAAAAFvT73o=")</f>
        <v>#VALUE!</v>
      </c>
      <c r="DT3" t="e">
        <f>AND(Quices!#REF!,"AAAAAFvT73s=")</f>
        <v>#REF!</v>
      </c>
      <c r="DU3" t="e">
        <f>AND(Quices!B4,"AAAAAFvT73w=")</f>
        <v>#VALUE!</v>
      </c>
      <c r="DV3" t="e">
        <f>AND(Quices!C4,"AAAAAFvT730=")</f>
        <v>#VALUE!</v>
      </c>
      <c r="DW3" t="e">
        <f>AND(Quices!D4,"AAAAAFvT734=")</f>
        <v>#VALUE!</v>
      </c>
      <c r="DX3" t="e">
        <f>AND(Quices!E4,"AAAAAFvT738=")</f>
        <v>#VALUE!</v>
      </c>
      <c r="DY3" t="e">
        <f>AND(Quices!#REF!,"AAAAAFvT74A=")</f>
        <v>#REF!</v>
      </c>
      <c r="DZ3" t="e">
        <f>AND(Quices!#REF!,"AAAAAFvT74E=")</f>
        <v>#REF!</v>
      </c>
      <c r="EA3" t="e">
        <f>AND(Quices!#REF!,"AAAAAFvT74I=")</f>
        <v>#REF!</v>
      </c>
      <c r="EB3" t="e">
        <f>AND(Quices!G4,"AAAAAFvT74M=")</f>
        <v>#VALUE!</v>
      </c>
      <c r="EC3">
        <f>IF(Quices!5:5,"AAAAAFvT74Q=",0)</f>
        <v>0</v>
      </c>
      <c r="ED3" t="e">
        <f>AND(Quices!A5,"AAAAAFvT74U=")</f>
        <v>#VALUE!</v>
      </c>
      <c r="EE3" t="e">
        <f>AND(Quices!#REF!,"AAAAAFvT74Y=")</f>
        <v>#REF!</v>
      </c>
      <c r="EF3" t="e">
        <f>AND(Quices!B5,"AAAAAFvT74c=")</f>
        <v>#VALUE!</v>
      </c>
      <c r="EG3" t="e">
        <f>AND(Quices!C5,"AAAAAFvT74g=")</f>
        <v>#VALUE!</v>
      </c>
      <c r="EH3" t="e">
        <f>AND(Quices!D5,"AAAAAFvT74k=")</f>
        <v>#VALUE!</v>
      </c>
      <c r="EI3" t="e">
        <f>AND(Quices!E5,"AAAAAFvT74o=")</f>
        <v>#VALUE!</v>
      </c>
      <c r="EJ3" t="e">
        <f>AND(Quices!#REF!,"AAAAAFvT74s=")</f>
        <v>#REF!</v>
      </c>
      <c r="EK3" t="e">
        <f>AND(Quices!#REF!,"AAAAAFvT74w=")</f>
        <v>#REF!</v>
      </c>
      <c r="EL3" t="e">
        <f>AND(Quices!#REF!,"AAAAAFvT740=")</f>
        <v>#REF!</v>
      </c>
      <c r="EM3" t="e">
        <f>AND(Quices!G5,"AAAAAFvT744=")</f>
        <v>#VALUE!</v>
      </c>
      <c r="EN3">
        <f>IF(Quices!6:6,"AAAAAFvT748=",0)</f>
        <v>0</v>
      </c>
      <c r="EO3" t="e">
        <f>AND(Quices!A6,"AAAAAFvT75A=")</f>
        <v>#VALUE!</v>
      </c>
      <c r="EP3" t="e">
        <f>AND(Quices!#REF!,"AAAAAFvT75E=")</f>
        <v>#REF!</v>
      </c>
      <c r="EQ3" t="e">
        <f>AND(Quices!B6,"AAAAAFvT75I=")</f>
        <v>#VALUE!</v>
      </c>
      <c r="ER3" t="e">
        <f>AND(Quices!C6,"AAAAAFvT75M=")</f>
        <v>#VALUE!</v>
      </c>
      <c r="ES3" t="e">
        <f>AND(Quices!D6,"AAAAAFvT75Q=")</f>
        <v>#VALUE!</v>
      </c>
      <c r="ET3" t="e">
        <f>AND(Quices!E6,"AAAAAFvT75U=")</f>
        <v>#VALUE!</v>
      </c>
      <c r="EU3" t="e">
        <f>AND(Quices!#REF!,"AAAAAFvT75Y=")</f>
        <v>#REF!</v>
      </c>
      <c r="EV3" t="e">
        <f>AND(Quices!#REF!,"AAAAAFvT75c=")</f>
        <v>#REF!</v>
      </c>
      <c r="EW3" t="e">
        <f>AND(Quices!#REF!,"AAAAAFvT75g=")</f>
        <v>#REF!</v>
      </c>
      <c r="EX3" t="e">
        <f>AND(Quices!G6,"AAAAAFvT75k=")</f>
        <v>#VALUE!</v>
      </c>
      <c r="EY3">
        <f>IF(Quices!7:7,"AAAAAFvT75o=",0)</f>
        <v>0</v>
      </c>
      <c r="EZ3" t="e">
        <f>AND(Quices!A7,"AAAAAFvT75s=")</f>
        <v>#VALUE!</v>
      </c>
      <c r="FA3" t="e">
        <f>AND(Quices!#REF!,"AAAAAFvT75w=")</f>
        <v>#REF!</v>
      </c>
      <c r="FB3" t="e">
        <f>AND(Quices!B7,"AAAAAFvT750=")</f>
        <v>#VALUE!</v>
      </c>
      <c r="FC3" t="e">
        <f>AND(Quices!C7,"AAAAAFvT754=")</f>
        <v>#VALUE!</v>
      </c>
      <c r="FD3" t="e">
        <f>AND(Quices!D7,"AAAAAFvT758=")</f>
        <v>#VALUE!</v>
      </c>
      <c r="FE3" t="e">
        <f>AND(Quices!E7,"AAAAAFvT76A=")</f>
        <v>#VALUE!</v>
      </c>
      <c r="FF3" t="e">
        <f>AND(Quices!#REF!,"AAAAAFvT76E=")</f>
        <v>#REF!</v>
      </c>
      <c r="FG3" t="e">
        <f>AND(Quices!#REF!,"AAAAAFvT76I=")</f>
        <v>#REF!</v>
      </c>
      <c r="FH3" t="e">
        <f>AND(Quices!#REF!,"AAAAAFvT76M=")</f>
        <v>#REF!</v>
      </c>
      <c r="FI3" t="e">
        <f>AND(Quices!G7,"AAAAAFvT76Q=")</f>
        <v>#VALUE!</v>
      </c>
      <c r="FJ3">
        <f>IF(Quices!8:8,"AAAAAFvT76U=",0)</f>
        <v>0</v>
      </c>
      <c r="FK3" t="e">
        <f>AND(Quices!A8,"AAAAAFvT76Y=")</f>
        <v>#VALUE!</v>
      </c>
      <c r="FL3" t="e">
        <f>AND(Quices!#REF!,"AAAAAFvT76c=")</f>
        <v>#REF!</v>
      </c>
      <c r="FM3" t="e">
        <f>AND(Quices!B8,"AAAAAFvT76g=")</f>
        <v>#VALUE!</v>
      </c>
      <c r="FN3" t="e">
        <f>AND(Quices!C8,"AAAAAFvT76k=")</f>
        <v>#VALUE!</v>
      </c>
      <c r="FO3" t="e">
        <f>AND(Quices!D8,"AAAAAFvT76o=")</f>
        <v>#VALUE!</v>
      </c>
      <c r="FP3" t="e">
        <f>AND(Quices!E8,"AAAAAFvT76s=")</f>
        <v>#VALUE!</v>
      </c>
      <c r="FQ3" t="e">
        <f>AND(Quices!#REF!,"AAAAAFvT76w=")</f>
        <v>#REF!</v>
      </c>
      <c r="FR3" t="e">
        <f>AND(Quices!#REF!,"AAAAAFvT760=")</f>
        <v>#REF!</v>
      </c>
      <c r="FS3" t="e">
        <f>AND(Quices!#REF!,"AAAAAFvT764=")</f>
        <v>#REF!</v>
      </c>
      <c r="FT3" t="e">
        <f>AND(Quices!G8,"AAAAAFvT768=")</f>
        <v>#VALUE!</v>
      </c>
      <c r="FU3">
        <f>IF(Quices!9:9,"AAAAAFvT77A=",0)</f>
        <v>0</v>
      </c>
      <c r="FV3" t="e">
        <f>AND(Quices!A9,"AAAAAFvT77E=")</f>
        <v>#VALUE!</v>
      </c>
      <c r="FW3" t="e">
        <f>AND(Quices!#REF!,"AAAAAFvT77I=")</f>
        <v>#REF!</v>
      </c>
      <c r="FX3" t="e">
        <f>AND(Quices!B9,"AAAAAFvT77M=")</f>
        <v>#VALUE!</v>
      </c>
      <c r="FY3" t="e">
        <f>AND(Quices!C9,"AAAAAFvT77Q=")</f>
        <v>#VALUE!</v>
      </c>
      <c r="FZ3" t="e">
        <f>AND(Quices!D9,"AAAAAFvT77U=")</f>
        <v>#VALUE!</v>
      </c>
      <c r="GA3" t="e">
        <f>AND(Quices!E9,"AAAAAFvT77Y=")</f>
        <v>#VALUE!</v>
      </c>
      <c r="GB3" t="e">
        <f>AND(Quices!#REF!,"AAAAAFvT77c=")</f>
        <v>#REF!</v>
      </c>
      <c r="GC3" t="e">
        <f>AND(Quices!#REF!,"AAAAAFvT77g=")</f>
        <v>#REF!</v>
      </c>
      <c r="GD3" t="e">
        <f>AND(Quices!#REF!,"AAAAAFvT77k=")</f>
        <v>#REF!</v>
      </c>
      <c r="GE3" t="e">
        <f>AND(Quices!G9,"AAAAAFvT77o=")</f>
        <v>#VALUE!</v>
      </c>
      <c r="GF3">
        <f>IF(Quices!10:10,"AAAAAFvT77s=",0)</f>
        <v>0</v>
      </c>
      <c r="GG3" t="e">
        <f>AND(Quices!A10,"AAAAAFvT77w=")</f>
        <v>#VALUE!</v>
      </c>
      <c r="GH3" t="e">
        <f>AND(Quices!#REF!,"AAAAAFvT770=")</f>
        <v>#REF!</v>
      </c>
      <c r="GI3" t="e">
        <f>AND(Quices!B10,"AAAAAFvT774=")</f>
        <v>#VALUE!</v>
      </c>
      <c r="GJ3" t="e">
        <f>AND(Quices!C10,"AAAAAFvT778=")</f>
        <v>#VALUE!</v>
      </c>
      <c r="GK3" t="e">
        <f>AND(Quices!D10,"AAAAAFvT78A=")</f>
        <v>#VALUE!</v>
      </c>
      <c r="GL3" t="e">
        <f>AND(Quices!E10,"AAAAAFvT78E=")</f>
        <v>#VALUE!</v>
      </c>
      <c r="GM3" t="e">
        <f>AND(Quices!#REF!,"AAAAAFvT78I=")</f>
        <v>#REF!</v>
      </c>
      <c r="GN3" t="e">
        <f>AND(Quices!#REF!,"AAAAAFvT78M=")</f>
        <v>#REF!</v>
      </c>
      <c r="GO3" t="e">
        <f>AND(Quices!#REF!,"AAAAAFvT78Q=")</f>
        <v>#REF!</v>
      </c>
      <c r="GP3" t="e">
        <f>AND(Quices!G10,"AAAAAFvT78U=")</f>
        <v>#VALUE!</v>
      </c>
      <c r="GQ3">
        <f>IF(Quices!11:11,"AAAAAFvT78Y=",0)</f>
        <v>0</v>
      </c>
      <c r="GR3" t="e">
        <f>AND(Quices!A11,"AAAAAFvT78c=")</f>
        <v>#VALUE!</v>
      </c>
      <c r="GS3" t="e">
        <f>AND(Quices!#REF!,"AAAAAFvT78g=")</f>
        <v>#REF!</v>
      </c>
      <c r="GT3" t="e">
        <f>AND(Quices!B11,"AAAAAFvT78k=")</f>
        <v>#VALUE!</v>
      </c>
      <c r="GU3" t="e">
        <f>AND(Quices!C11,"AAAAAFvT78o=")</f>
        <v>#VALUE!</v>
      </c>
      <c r="GV3" t="e">
        <f>AND(Quices!D11,"AAAAAFvT78s=")</f>
        <v>#VALUE!</v>
      </c>
      <c r="GW3" t="e">
        <f>AND(Quices!E11,"AAAAAFvT78w=")</f>
        <v>#VALUE!</v>
      </c>
      <c r="GX3" t="e">
        <f>AND(Quices!#REF!,"AAAAAFvT780=")</f>
        <v>#REF!</v>
      </c>
      <c r="GY3" t="e">
        <f>AND(Quices!#REF!,"AAAAAFvT784=")</f>
        <v>#REF!</v>
      </c>
      <c r="GZ3" t="e">
        <f>AND(Quices!#REF!,"AAAAAFvT788=")</f>
        <v>#REF!</v>
      </c>
      <c r="HA3" t="e">
        <f>AND(Quices!G11,"AAAAAFvT79A=")</f>
        <v>#VALUE!</v>
      </c>
      <c r="HB3">
        <f>IF(Quices!12:12,"AAAAAFvT79E=",0)</f>
        <v>0</v>
      </c>
      <c r="HC3" t="e">
        <f>AND(Quices!A12,"AAAAAFvT79I=")</f>
        <v>#VALUE!</v>
      </c>
      <c r="HD3" t="e">
        <f>AND(Quices!#REF!,"AAAAAFvT79M=")</f>
        <v>#REF!</v>
      </c>
      <c r="HE3" t="e">
        <f>AND(Quices!B12,"AAAAAFvT79Q=")</f>
        <v>#VALUE!</v>
      </c>
      <c r="HF3" t="e">
        <f>AND(Quices!C12,"AAAAAFvT79U=")</f>
        <v>#VALUE!</v>
      </c>
      <c r="HG3" t="e">
        <f>AND(Quices!D12,"AAAAAFvT79Y=")</f>
        <v>#VALUE!</v>
      </c>
      <c r="HH3" t="e">
        <f>AND(Quices!E12,"AAAAAFvT79c=")</f>
        <v>#VALUE!</v>
      </c>
      <c r="HI3" t="e">
        <f>AND(Quices!#REF!,"AAAAAFvT79g=")</f>
        <v>#REF!</v>
      </c>
      <c r="HJ3" t="e">
        <f>AND(Quices!#REF!,"AAAAAFvT79k=")</f>
        <v>#REF!</v>
      </c>
      <c r="HK3" t="e">
        <f>AND(Quices!#REF!,"AAAAAFvT79o=")</f>
        <v>#REF!</v>
      </c>
      <c r="HL3" t="e">
        <f>AND(Quices!G12,"AAAAAFvT79s=")</f>
        <v>#VALUE!</v>
      </c>
      <c r="HM3">
        <f>IF(Quices!13:13,"AAAAAFvT79w=",0)</f>
        <v>0</v>
      </c>
      <c r="HN3" t="e">
        <f>AND(Quices!A13,"AAAAAFvT790=")</f>
        <v>#VALUE!</v>
      </c>
      <c r="HO3" t="e">
        <f>AND(Quices!#REF!,"AAAAAFvT794=")</f>
        <v>#REF!</v>
      </c>
      <c r="HP3" t="e">
        <f>AND(Quices!B13,"AAAAAFvT798=")</f>
        <v>#VALUE!</v>
      </c>
      <c r="HQ3" t="e">
        <f>AND(Quices!C13,"AAAAAFvT7+A=")</f>
        <v>#VALUE!</v>
      </c>
      <c r="HR3" t="e">
        <f>AND(Quices!D13,"AAAAAFvT7+E=")</f>
        <v>#VALUE!</v>
      </c>
      <c r="HS3" t="e">
        <f>AND(Quices!E13,"AAAAAFvT7+I=")</f>
        <v>#VALUE!</v>
      </c>
      <c r="HT3" t="e">
        <f>AND(Quices!#REF!,"AAAAAFvT7+M=")</f>
        <v>#REF!</v>
      </c>
      <c r="HU3" t="e">
        <f>AND(Quices!#REF!,"AAAAAFvT7+Q=")</f>
        <v>#REF!</v>
      </c>
      <c r="HV3" t="e">
        <f>AND(Quices!#REF!,"AAAAAFvT7+U=")</f>
        <v>#REF!</v>
      </c>
      <c r="HW3" t="e">
        <f>AND(Quices!G13,"AAAAAFvT7+Y=")</f>
        <v>#VALUE!</v>
      </c>
      <c r="HX3">
        <f>IF(Quices!14:14,"AAAAAFvT7+c=",0)</f>
        <v>0</v>
      </c>
      <c r="HY3" t="e">
        <f>AND(Quices!A14,"AAAAAFvT7+g=")</f>
        <v>#VALUE!</v>
      </c>
      <c r="HZ3" t="e">
        <f>AND(Quices!#REF!,"AAAAAFvT7+k=")</f>
        <v>#REF!</v>
      </c>
      <c r="IA3" t="e">
        <f>AND(Quices!B14,"AAAAAFvT7+o=")</f>
        <v>#VALUE!</v>
      </c>
      <c r="IB3" t="e">
        <f>AND(Quices!C14,"AAAAAFvT7+s=")</f>
        <v>#VALUE!</v>
      </c>
      <c r="IC3" t="e">
        <f>AND(Quices!D14,"AAAAAFvT7+w=")</f>
        <v>#VALUE!</v>
      </c>
      <c r="ID3" t="e">
        <f>AND(Quices!E14,"AAAAAFvT7+0=")</f>
        <v>#VALUE!</v>
      </c>
      <c r="IE3" t="e">
        <f>AND(Quices!#REF!,"AAAAAFvT7+4=")</f>
        <v>#REF!</v>
      </c>
      <c r="IF3" t="e">
        <f>AND(Quices!#REF!,"AAAAAFvT7+8=")</f>
        <v>#REF!</v>
      </c>
      <c r="IG3" t="e">
        <f>AND(Quices!#REF!,"AAAAAFvT7/A=")</f>
        <v>#REF!</v>
      </c>
      <c r="IH3" t="e">
        <f>AND(Quices!G14,"AAAAAFvT7/E=")</f>
        <v>#VALUE!</v>
      </c>
      <c r="II3">
        <f>IF(Quices!15:15,"AAAAAFvT7/I=",0)</f>
        <v>0</v>
      </c>
      <c r="IJ3" t="e">
        <f>AND(Quices!A15,"AAAAAFvT7/M=")</f>
        <v>#VALUE!</v>
      </c>
      <c r="IK3" t="e">
        <f>AND(Quices!#REF!,"AAAAAFvT7/Q=")</f>
        <v>#REF!</v>
      </c>
      <c r="IL3" t="e">
        <f>AND(Quices!B15,"AAAAAFvT7/U=")</f>
        <v>#VALUE!</v>
      </c>
      <c r="IM3" t="e">
        <f>AND(Quices!C15,"AAAAAFvT7/Y=")</f>
        <v>#VALUE!</v>
      </c>
      <c r="IN3" t="e">
        <f>AND(Quices!D15,"AAAAAFvT7/c=")</f>
        <v>#VALUE!</v>
      </c>
      <c r="IO3" t="e">
        <f>AND(Quices!E15,"AAAAAFvT7/g=")</f>
        <v>#VALUE!</v>
      </c>
      <c r="IP3" t="e">
        <f>AND(Quices!#REF!,"AAAAAFvT7/k=")</f>
        <v>#REF!</v>
      </c>
      <c r="IQ3" t="e">
        <f>AND(Quices!#REF!,"AAAAAFvT7/o=")</f>
        <v>#REF!</v>
      </c>
      <c r="IR3" t="e">
        <f>AND(Quices!#REF!,"AAAAAFvT7/s=")</f>
        <v>#REF!</v>
      </c>
      <c r="IS3" t="e">
        <f>AND(Quices!G15,"AAAAAFvT7/w=")</f>
        <v>#VALUE!</v>
      </c>
      <c r="IT3">
        <f>IF(Quices!16:16,"AAAAAFvT7/0=",0)</f>
        <v>0</v>
      </c>
      <c r="IU3" t="e">
        <f>AND(Quices!A16,"AAAAAFvT7/4=")</f>
        <v>#VALUE!</v>
      </c>
      <c r="IV3" t="e">
        <f>AND(Quices!#REF!,"AAAAAFvT7/8=")</f>
        <v>#REF!</v>
      </c>
    </row>
    <row r="4" spans="1:256" x14ac:dyDescent="0.2">
      <c r="A4" t="e">
        <f>AND(Quices!B16,"AAAAABWLnAA=")</f>
        <v>#VALUE!</v>
      </c>
      <c r="B4" t="e">
        <f>AND(Quices!C16,"AAAAABWLnAE=")</f>
        <v>#VALUE!</v>
      </c>
      <c r="C4" t="e">
        <f>AND(Quices!D16,"AAAAABWLnAI=")</f>
        <v>#VALUE!</v>
      </c>
      <c r="D4" t="e">
        <f>AND(Quices!E16,"AAAAABWLnAM=")</f>
        <v>#VALUE!</v>
      </c>
      <c r="E4" t="e">
        <f>AND(Quices!#REF!,"AAAAABWLnAQ=")</f>
        <v>#REF!</v>
      </c>
      <c r="F4" t="e">
        <f>AND(Quices!#REF!,"AAAAABWLnAU=")</f>
        <v>#REF!</v>
      </c>
      <c r="G4" t="e">
        <f>AND(Quices!#REF!,"AAAAABWLnAY=")</f>
        <v>#REF!</v>
      </c>
      <c r="H4" t="e">
        <f>AND(Quices!G16,"AAAAABWLnAc=")</f>
        <v>#VALUE!</v>
      </c>
      <c r="I4" t="str">
        <f>IF(Quices!17:17,"AAAAABWLnAg=",0)</f>
        <v>AAAAABWLnAg=</v>
      </c>
      <c r="J4" t="e">
        <f>AND(Quices!A17,"AAAAABWLnAk=")</f>
        <v>#VALUE!</v>
      </c>
      <c r="K4" t="e">
        <f>AND(Quices!#REF!,"AAAAABWLnAo=")</f>
        <v>#REF!</v>
      </c>
      <c r="L4" t="e">
        <f>AND(Quices!B17,"AAAAABWLnAs=")</f>
        <v>#VALUE!</v>
      </c>
      <c r="M4" t="e">
        <f>AND(Quices!C17,"AAAAABWLnAw=")</f>
        <v>#VALUE!</v>
      </c>
      <c r="N4" t="e">
        <f>AND(Quices!D17,"AAAAABWLnA0=")</f>
        <v>#VALUE!</v>
      </c>
      <c r="O4" t="e">
        <f>AND(Quices!E17,"AAAAABWLnA4=")</f>
        <v>#VALUE!</v>
      </c>
      <c r="P4" t="e">
        <f>AND(Quices!#REF!,"AAAAABWLnA8=")</f>
        <v>#REF!</v>
      </c>
      <c r="Q4" t="e">
        <f>AND(Quices!#REF!,"AAAAABWLnBA=")</f>
        <v>#REF!</v>
      </c>
      <c r="R4" t="e">
        <f>AND(Quices!#REF!,"AAAAABWLnBE=")</f>
        <v>#REF!</v>
      </c>
      <c r="S4" t="e">
        <f>AND(Quices!G17,"AAAAABWLnBI=")</f>
        <v>#VALUE!</v>
      </c>
      <c r="T4">
        <f>IF(Quices!18:18,"AAAAABWLnBM=",0)</f>
        <v>0</v>
      </c>
      <c r="U4" t="e">
        <f>AND(Quices!A18,"AAAAABWLnBQ=")</f>
        <v>#VALUE!</v>
      </c>
      <c r="V4" t="e">
        <f>AND(Quices!#REF!,"AAAAABWLnBU=")</f>
        <v>#REF!</v>
      </c>
      <c r="W4" t="e">
        <f>AND(Quices!B18,"AAAAABWLnBY=")</f>
        <v>#VALUE!</v>
      </c>
      <c r="X4" t="e">
        <f>AND(Quices!C18,"AAAAABWLnBc=")</f>
        <v>#VALUE!</v>
      </c>
      <c r="Y4" t="e">
        <f>AND(Quices!D18,"AAAAABWLnBg=")</f>
        <v>#VALUE!</v>
      </c>
      <c r="Z4" t="e">
        <f>AND(Quices!E18,"AAAAABWLnBk=")</f>
        <v>#VALUE!</v>
      </c>
      <c r="AA4" t="e">
        <f>AND(Quices!#REF!,"AAAAABWLnBo=")</f>
        <v>#REF!</v>
      </c>
      <c r="AB4" t="e">
        <f>AND(Quices!#REF!,"AAAAABWLnBs=")</f>
        <v>#REF!</v>
      </c>
      <c r="AC4" t="e">
        <f>AND(Quices!#REF!,"AAAAABWLnBw=")</f>
        <v>#REF!</v>
      </c>
      <c r="AD4" t="e">
        <f>AND(Quices!G18,"AAAAABWLnB0=")</f>
        <v>#VALUE!</v>
      </c>
      <c r="AE4">
        <f>IF(Quices!19:19,"AAAAABWLnB4=",0)</f>
        <v>0</v>
      </c>
      <c r="AF4" t="e">
        <f>AND(Quices!A19,"AAAAABWLnB8=")</f>
        <v>#VALUE!</v>
      </c>
      <c r="AG4" t="e">
        <f>AND(Quices!#REF!,"AAAAABWLnCA=")</f>
        <v>#REF!</v>
      </c>
      <c r="AH4" t="e">
        <f>AND(Quices!B19,"AAAAABWLnCE=")</f>
        <v>#VALUE!</v>
      </c>
      <c r="AI4" t="e">
        <f>AND(Quices!C19,"AAAAABWLnCI=")</f>
        <v>#VALUE!</v>
      </c>
      <c r="AJ4" t="e">
        <f>AND(Quices!D19,"AAAAABWLnCM=")</f>
        <v>#VALUE!</v>
      </c>
      <c r="AK4" t="e">
        <f>AND(Quices!E19,"AAAAABWLnCQ=")</f>
        <v>#VALUE!</v>
      </c>
      <c r="AL4" t="e">
        <f>AND(Quices!#REF!,"AAAAABWLnCU=")</f>
        <v>#REF!</v>
      </c>
      <c r="AM4" t="e">
        <f>AND(Quices!#REF!,"AAAAABWLnCY=")</f>
        <v>#REF!</v>
      </c>
      <c r="AN4" t="e">
        <f>AND(Quices!#REF!,"AAAAABWLnCc=")</f>
        <v>#REF!</v>
      </c>
      <c r="AO4" t="e">
        <f>AND(Quices!G19,"AAAAABWLnCg=")</f>
        <v>#VALUE!</v>
      </c>
      <c r="AP4">
        <f>IF(Quices!20:20,"AAAAABWLnCk=",0)</f>
        <v>0</v>
      </c>
      <c r="AQ4" t="e">
        <f>AND(Quices!A20,"AAAAABWLnCo=")</f>
        <v>#VALUE!</v>
      </c>
      <c r="AR4" t="e">
        <f>AND(Quices!#REF!,"AAAAABWLnCs=")</f>
        <v>#REF!</v>
      </c>
      <c r="AS4" t="e">
        <f>AND(Quices!B20,"AAAAABWLnCw=")</f>
        <v>#VALUE!</v>
      </c>
      <c r="AT4" t="e">
        <f>AND(Quices!C20,"AAAAABWLnC0=")</f>
        <v>#VALUE!</v>
      </c>
      <c r="AU4" t="e">
        <f>AND(Quices!D20,"AAAAABWLnC4=")</f>
        <v>#VALUE!</v>
      </c>
      <c r="AV4" t="e">
        <f>AND(Quices!E20,"AAAAABWLnC8=")</f>
        <v>#VALUE!</v>
      </c>
      <c r="AW4" t="e">
        <f>AND(Quices!#REF!,"AAAAABWLnDA=")</f>
        <v>#REF!</v>
      </c>
      <c r="AX4" t="e">
        <f>AND(Quices!#REF!,"AAAAABWLnDE=")</f>
        <v>#REF!</v>
      </c>
      <c r="AY4" t="e">
        <f>AND(Quices!#REF!,"AAAAABWLnDI=")</f>
        <v>#REF!</v>
      </c>
      <c r="AZ4" t="e">
        <f>AND(Quices!G20,"AAAAABWLnDM=")</f>
        <v>#VALUE!</v>
      </c>
      <c r="BA4">
        <f>IF(Quices!21:21,"AAAAABWLnDQ=",0)</f>
        <v>0</v>
      </c>
      <c r="BB4" t="e">
        <f>AND(Quices!A21,"AAAAABWLnDU=")</f>
        <v>#VALUE!</v>
      </c>
      <c r="BC4" t="e">
        <f>AND(Quices!#REF!,"AAAAABWLnDY=")</f>
        <v>#REF!</v>
      </c>
      <c r="BD4" t="e">
        <f>AND(Quices!B21,"AAAAABWLnDc=")</f>
        <v>#VALUE!</v>
      </c>
      <c r="BE4" t="e">
        <f>AND(Quices!C21,"AAAAABWLnDg=")</f>
        <v>#VALUE!</v>
      </c>
      <c r="BF4" t="e">
        <f>AND(Quices!D21,"AAAAABWLnDk=")</f>
        <v>#VALUE!</v>
      </c>
      <c r="BG4" t="e">
        <f>AND(Quices!E21,"AAAAABWLnDo=")</f>
        <v>#VALUE!</v>
      </c>
      <c r="BH4" t="e">
        <f>AND(Quices!#REF!,"AAAAABWLnDs=")</f>
        <v>#REF!</v>
      </c>
      <c r="BI4" t="e">
        <f>AND(Quices!#REF!,"AAAAABWLnDw=")</f>
        <v>#REF!</v>
      </c>
      <c r="BJ4" t="e">
        <f>AND(Quices!#REF!,"AAAAABWLnD0=")</f>
        <v>#REF!</v>
      </c>
      <c r="BK4" t="e">
        <f>AND(Quices!G21,"AAAAABWLnD4=")</f>
        <v>#VALUE!</v>
      </c>
      <c r="BL4" t="e">
        <f>IF(Quices!A:A,"AAAAABWLnD8=",0)</f>
        <v>#VALUE!</v>
      </c>
      <c r="BM4" t="e">
        <f>IF(Quices!#REF!,"AAAAABWLnEA=",0)</f>
        <v>#REF!</v>
      </c>
      <c r="BN4" t="str">
        <f>IF(Quices!B:B,"AAAAABWLnEE=",0)</f>
        <v>AAAAABWLnEE=</v>
      </c>
      <c r="BO4" t="str">
        <f>IF(Quices!C:C,"AAAAABWLnEI=",0)</f>
        <v>AAAAABWLnEI=</v>
      </c>
      <c r="BP4" t="str">
        <f>IF(Quices!D:D,"AAAAABWLnEM=",0)</f>
        <v>AAAAABWLnEM=</v>
      </c>
      <c r="BQ4" t="str">
        <f>IF(Quices!E:E,"AAAAABWLnEQ=",0)</f>
        <v>AAAAABWLnEQ=</v>
      </c>
      <c r="BR4" t="e">
        <f>IF(Quices!#REF!,"AAAAABWLnEU=",0)</f>
        <v>#REF!</v>
      </c>
      <c r="BS4" t="e">
        <f>IF(Quices!#REF!,"AAAAABWLnEY=",0)</f>
        <v>#REF!</v>
      </c>
      <c r="BT4" t="e">
        <f>IF(Quices!#REF!,"AAAAABWLnEc=",0)</f>
        <v>#REF!</v>
      </c>
      <c r="BU4" t="str">
        <f>IF(Quices!G:G,"AAAAABWLnEg=",0)</f>
        <v>AAAAABWLnEg=</v>
      </c>
      <c r="BV4" t="e">
        <f>IF(Tareas!#REF!,"AAAAABWLnEk=",0)</f>
        <v>#REF!</v>
      </c>
      <c r="BW4" t="e">
        <f>AND(Tareas!#REF!,"AAAAABWLnEo=")</f>
        <v>#REF!</v>
      </c>
      <c r="BX4" t="e">
        <f>AND(Tareas!#REF!,"AAAAABWLnEs=")</f>
        <v>#REF!</v>
      </c>
      <c r="BY4" t="e">
        <f>AND(Tareas!#REF!,"AAAAABWLnEw=")</f>
        <v>#REF!</v>
      </c>
      <c r="BZ4" t="e">
        <f>AND(Tareas!#REF!,"AAAAABWLnE0=")</f>
        <v>#REF!</v>
      </c>
      <c r="CA4" t="e">
        <f>AND(Tareas!#REF!,"AAAAABWLnE4=")</f>
        <v>#REF!</v>
      </c>
      <c r="CB4" t="e">
        <f>AND(Tareas!#REF!,"AAAAABWLnE8=")</f>
        <v>#REF!</v>
      </c>
      <c r="CC4" t="e">
        <f>AND(Tareas!#REF!,"AAAAABWLnFA=")</f>
        <v>#REF!</v>
      </c>
      <c r="CD4" t="e">
        <f>AND(Tareas!#REF!,"AAAAABWLnFE=")</f>
        <v>#REF!</v>
      </c>
      <c r="CE4" t="e">
        <f>AND(Tareas!#REF!,"AAAAABWLnFI=")</f>
        <v>#REF!</v>
      </c>
      <c r="CF4" t="e">
        <f>IF(Tareas!#REF!,"AAAAABWLnFM=",0)</f>
        <v>#REF!</v>
      </c>
      <c r="CG4" t="e">
        <f>AND(Tareas!#REF!,"AAAAABWLnFQ=")</f>
        <v>#REF!</v>
      </c>
      <c r="CH4" t="e">
        <f>AND(Tareas!#REF!,"AAAAABWLnFU=")</f>
        <v>#REF!</v>
      </c>
      <c r="CI4" t="e">
        <f>AND(Tareas!#REF!,"AAAAABWLnFY=")</f>
        <v>#REF!</v>
      </c>
      <c r="CJ4" t="e">
        <f>AND(Tareas!#REF!,"AAAAABWLnFc=")</f>
        <v>#REF!</v>
      </c>
      <c r="CK4" t="e">
        <f>AND(Tareas!#REF!,"AAAAABWLnFg=")</f>
        <v>#REF!</v>
      </c>
      <c r="CL4" t="e">
        <f>AND(Tareas!#REF!,"AAAAABWLnFk=")</f>
        <v>#REF!</v>
      </c>
      <c r="CM4" t="e">
        <f>AND(Tareas!#REF!,"AAAAABWLnFo=")</f>
        <v>#REF!</v>
      </c>
      <c r="CN4" t="e">
        <f>AND(Tareas!#REF!,"AAAAABWLnFs=")</f>
        <v>#REF!</v>
      </c>
      <c r="CO4" t="e">
        <f>AND(Tareas!#REF!,"AAAAABWLnFw=")</f>
        <v>#REF!</v>
      </c>
      <c r="CP4" t="e">
        <f>IF(Tareas!#REF!,"AAAAABWLnF0=",0)</f>
        <v>#REF!</v>
      </c>
      <c r="CQ4" t="e">
        <f>AND(Tareas!#REF!,"AAAAABWLnF4=")</f>
        <v>#REF!</v>
      </c>
      <c r="CR4" t="e">
        <f>AND(Tareas!#REF!,"AAAAABWLnF8=")</f>
        <v>#REF!</v>
      </c>
      <c r="CS4" t="e">
        <f>AND(Tareas!#REF!,"AAAAABWLnGA=")</f>
        <v>#REF!</v>
      </c>
      <c r="CT4" t="e">
        <f>AND(Tareas!#REF!,"AAAAABWLnGE=")</f>
        <v>#REF!</v>
      </c>
      <c r="CU4" t="e">
        <f>AND(Tareas!#REF!,"AAAAABWLnGI=")</f>
        <v>#REF!</v>
      </c>
      <c r="CV4" t="e">
        <f>AND(Tareas!#REF!,"AAAAABWLnGM=")</f>
        <v>#REF!</v>
      </c>
      <c r="CW4" t="e">
        <f>AND(Tareas!#REF!,"AAAAABWLnGQ=")</f>
        <v>#REF!</v>
      </c>
      <c r="CX4" t="e">
        <f>AND(Tareas!#REF!,"AAAAABWLnGU=")</f>
        <v>#REF!</v>
      </c>
      <c r="CY4" t="e">
        <f>AND(Tareas!#REF!,"AAAAABWLnGY=")</f>
        <v>#REF!</v>
      </c>
      <c r="CZ4" t="e">
        <f>IF(Tareas!#REF!,"AAAAABWLnGc=",0)</f>
        <v>#REF!</v>
      </c>
      <c r="DA4" t="e">
        <f>AND(Tareas!#REF!,"AAAAABWLnGg=")</f>
        <v>#REF!</v>
      </c>
      <c r="DB4" t="e">
        <f>AND(Tareas!#REF!,"AAAAABWLnGk=")</f>
        <v>#REF!</v>
      </c>
      <c r="DC4" t="e">
        <f>AND(Tareas!#REF!,"AAAAABWLnGo=")</f>
        <v>#REF!</v>
      </c>
      <c r="DD4" t="e">
        <f>AND(Tareas!#REF!,"AAAAABWLnGs=")</f>
        <v>#REF!</v>
      </c>
      <c r="DE4" t="e">
        <f>AND(Tareas!#REF!,"AAAAABWLnGw=")</f>
        <v>#REF!</v>
      </c>
      <c r="DF4" t="e">
        <f>AND(Tareas!#REF!,"AAAAABWLnG0=")</f>
        <v>#REF!</v>
      </c>
      <c r="DG4" t="e">
        <f>AND(Tareas!#REF!,"AAAAABWLnG4=")</f>
        <v>#REF!</v>
      </c>
      <c r="DH4" t="e">
        <f>AND(Tareas!#REF!,"AAAAABWLnG8=")</f>
        <v>#REF!</v>
      </c>
      <c r="DI4" t="e">
        <f>AND(Tareas!#REF!,"AAAAABWLnHA=")</f>
        <v>#REF!</v>
      </c>
      <c r="DJ4" t="e">
        <f>IF(Tareas!#REF!,"AAAAABWLnHE=",0)</f>
        <v>#REF!</v>
      </c>
      <c r="DK4" t="e">
        <f>AND(Tareas!#REF!,"AAAAABWLnHI=")</f>
        <v>#REF!</v>
      </c>
      <c r="DL4" t="e">
        <f>AND(Tareas!#REF!,"AAAAABWLnHM=")</f>
        <v>#REF!</v>
      </c>
      <c r="DM4" t="e">
        <f>AND(Tareas!#REF!,"AAAAABWLnHQ=")</f>
        <v>#REF!</v>
      </c>
      <c r="DN4" t="e">
        <f>AND(Tareas!#REF!,"AAAAABWLnHU=")</f>
        <v>#REF!</v>
      </c>
      <c r="DO4" t="e">
        <f>AND(Tareas!#REF!,"AAAAABWLnHY=")</f>
        <v>#REF!</v>
      </c>
      <c r="DP4" t="e">
        <f>AND(Tareas!#REF!,"AAAAABWLnHc=")</f>
        <v>#REF!</v>
      </c>
      <c r="DQ4" t="e">
        <f>AND(Tareas!#REF!,"AAAAABWLnHg=")</f>
        <v>#REF!</v>
      </c>
      <c r="DR4" t="e">
        <f>AND(Tareas!#REF!,"AAAAABWLnHk=")</f>
        <v>#REF!</v>
      </c>
      <c r="DS4" t="e">
        <f>AND(Tareas!#REF!,"AAAAABWLnHo=")</f>
        <v>#REF!</v>
      </c>
      <c r="DT4">
        <f>IF(Tareas!1:1,"AAAAABWLnHs=",0)</f>
        <v>0</v>
      </c>
      <c r="DU4" t="e">
        <f>AND(Tareas!A1,"AAAAABWLnHw=")</f>
        <v>#VALUE!</v>
      </c>
      <c r="DV4" t="e">
        <f>AND(Tareas!#REF!,"AAAAABWLnH0=")</f>
        <v>#REF!</v>
      </c>
      <c r="DW4" t="e">
        <f>AND(Tareas!B1,"AAAAABWLnH4=")</f>
        <v>#VALUE!</v>
      </c>
      <c r="DX4" t="e">
        <f>AND(Tareas!E1,"AAAAABWLnH8=")</f>
        <v>#VALUE!</v>
      </c>
      <c r="DY4" t="e">
        <f>AND(Tareas!H1,"AAAAABWLnIA=")</f>
        <v>#VALUE!</v>
      </c>
      <c r="DZ4" t="e">
        <f>AND(Tareas!K1,"AAAAABWLnIE=")</f>
        <v>#VALUE!</v>
      </c>
      <c r="EA4" t="e">
        <f>AND(Tareas!#REF!,"AAAAABWLnII=")</f>
        <v>#REF!</v>
      </c>
      <c r="EB4" t="e">
        <f>AND(Tareas!#REF!,"AAAAABWLnIM=")</f>
        <v>#REF!</v>
      </c>
      <c r="EC4" t="e">
        <f>AND(Tareas!Q1,"AAAAABWLnIQ=")</f>
        <v>#VALUE!</v>
      </c>
      <c r="ED4">
        <f>IF(Tareas!2:2,"AAAAABWLnIU=",0)</f>
        <v>0</v>
      </c>
      <c r="EE4" t="e">
        <f>AND(Tareas!A2,"AAAAABWLnIY=")</f>
        <v>#VALUE!</v>
      </c>
      <c r="EF4" t="e">
        <f>AND(Tareas!#REF!,"AAAAABWLnIc=")</f>
        <v>#REF!</v>
      </c>
      <c r="EG4" t="e">
        <f>AND(Tareas!B2,"AAAAABWLnIg=")</f>
        <v>#VALUE!</v>
      </c>
      <c r="EH4" t="e">
        <f>AND(Tareas!E2,"AAAAABWLnIk=")</f>
        <v>#VALUE!</v>
      </c>
      <c r="EI4" t="e">
        <f>AND(Tareas!H2,"AAAAABWLnIo=")</f>
        <v>#VALUE!</v>
      </c>
      <c r="EJ4" t="e">
        <f>AND(Tareas!K2,"AAAAABWLnIs=")</f>
        <v>#VALUE!</v>
      </c>
      <c r="EK4" t="e">
        <f>AND(Tareas!#REF!,"AAAAABWLnIw=")</f>
        <v>#REF!</v>
      </c>
      <c r="EL4" t="e">
        <f>AND(Tareas!#REF!,"AAAAABWLnI0=")</f>
        <v>#REF!</v>
      </c>
      <c r="EM4" t="e">
        <f>AND(Tareas!Q2,"AAAAABWLnI4=")</f>
        <v>#VALUE!</v>
      </c>
      <c r="EN4">
        <f>IF(Tareas!3:3,"AAAAABWLnI8=",0)</f>
        <v>0</v>
      </c>
      <c r="EO4" t="e">
        <f>AND(Tareas!A3,"AAAAABWLnJA=")</f>
        <v>#VALUE!</v>
      </c>
      <c r="EP4" t="e">
        <f>AND(Tareas!#REF!,"AAAAABWLnJE=")</f>
        <v>#REF!</v>
      </c>
      <c r="EQ4" t="e">
        <f>AND(Tareas!B3,"AAAAABWLnJI=")</f>
        <v>#VALUE!</v>
      </c>
      <c r="ER4" t="e">
        <f>AND(Tareas!E3,"AAAAABWLnJM=")</f>
        <v>#VALUE!</v>
      </c>
      <c r="ES4" t="e">
        <f>AND(Tareas!H3,"AAAAABWLnJQ=")</f>
        <v>#VALUE!</v>
      </c>
      <c r="ET4" t="e">
        <f>AND(Tareas!K3,"AAAAABWLnJU=")</f>
        <v>#VALUE!</v>
      </c>
      <c r="EU4" t="e">
        <f>AND(Tareas!#REF!,"AAAAABWLnJY=")</f>
        <v>#REF!</v>
      </c>
      <c r="EV4" t="e">
        <f>AND(Tareas!#REF!,"AAAAABWLnJc=")</f>
        <v>#REF!</v>
      </c>
      <c r="EW4" t="e">
        <f>AND(Tareas!Q3,"AAAAABWLnJg=")</f>
        <v>#VALUE!</v>
      </c>
      <c r="EX4">
        <f>IF(Tareas!5:5,"AAAAABWLnJk=",0)</f>
        <v>0</v>
      </c>
      <c r="EY4" t="e">
        <f>AND(Tareas!A5,"AAAAABWLnJo=")</f>
        <v>#VALUE!</v>
      </c>
      <c r="EZ4" t="e">
        <f>AND(Tareas!#REF!,"AAAAABWLnJs=")</f>
        <v>#REF!</v>
      </c>
      <c r="FA4" t="e">
        <f>AND(Tareas!B5,"AAAAABWLnJw=")</f>
        <v>#VALUE!</v>
      </c>
      <c r="FB4" t="e">
        <f>AND(Tareas!E5,"AAAAABWLnJ0=")</f>
        <v>#VALUE!</v>
      </c>
      <c r="FC4" t="e">
        <f>AND(Tareas!H5,"AAAAABWLnJ4=")</f>
        <v>#VALUE!</v>
      </c>
      <c r="FD4" t="e">
        <f>AND(Tareas!K5,"AAAAABWLnJ8=")</f>
        <v>#VALUE!</v>
      </c>
      <c r="FE4" t="e">
        <f>AND(Tareas!#REF!,"AAAAABWLnKA=")</f>
        <v>#REF!</v>
      </c>
      <c r="FF4" t="e">
        <f>AND(Tareas!#REF!,"AAAAABWLnKE=")</f>
        <v>#REF!</v>
      </c>
      <c r="FG4" t="e">
        <f>AND(Tareas!Q5,"AAAAABWLnKI=")</f>
        <v>#VALUE!</v>
      </c>
      <c r="FH4">
        <f>IF(Tareas!6:6,"AAAAABWLnKM=",0)</f>
        <v>0</v>
      </c>
      <c r="FI4" t="e">
        <f>AND(Tareas!A6,"AAAAABWLnKQ=")</f>
        <v>#VALUE!</v>
      </c>
      <c r="FJ4" t="e">
        <f>AND(Tareas!#REF!,"AAAAABWLnKU=")</f>
        <v>#REF!</v>
      </c>
      <c r="FK4" t="e">
        <f>AND(Tareas!B6,"AAAAABWLnKY=")</f>
        <v>#VALUE!</v>
      </c>
      <c r="FL4" t="e">
        <f>AND(Tareas!E6,"AAAAABWLnKc=")</f>
        <v>#VALUE!</v>
      </c>
      <c r="FM4" t="e">
        <f>AND(Tareas!H6,"AAAAABWLnKg=")</f>
        <v>#VALUE!</v>
      </c>
      <c r="FN4" t="e">
        <f>AND(Tareas!K6,"AAAAABWLnKk=")</f>
        <v>#VALUE!</v>
      </c>
      <c r="FO4" t="e">
        <f>AND(Tareas!#REF!,"AAAAABWLnKo=")</f>
        <v>#REF!</v>
      </c>
      <c r="FP4" t="e">
        <f>AND(Tareas!#REF!,"AAAAABWLnKs=")</f>
        <v>#REF!</v>
      </c>
      <c r="FQ4" t="e">
        <f>AND(Tareas!Q6,"AAAAABWLnKw=")</f>
        <v>#VALUE!</v>
      </c>
      <c r="FR4">
        <f>IF(Tareas!7:7,"AAAAABWLnK0=",0)</f>
        <v>0</v>
      </c>
      <c r="FS4" t="e">
        <f>AND(Tareas!A7,"AAAAABWLnK4=")</f>
        <v>#VALUE!</v>
      </c>
      <c r="FT4" t="e">
        <f>AND(Tareas!#REF!,"AAAAABWLnK8=")</f>
        <v>#REF!</v>
      </c>
      <c r="FU4" t="e">
        <f>AND(Tareas!B7,"AAAAABWLnLA=")</f>
        <v>#VALUE!</v>
      </c>
      <c r="FV4" t="e">
        <f>AND(Tareas!E7,"AAAAABWLnLE=")</f>
        <v>#VALUE!</v>
      </c>
      <c r="FW4" t="e">
        <f>AND(Tareas!H7,"AAAAABWLnLI=")</f>
        <v>#VALUE!</v>
      </c>
      <c r="FX4" t="e">
        <f>AND(Tareas!K7,"AAAAABWLnLM=")</f>
        <v>#VALUE!</v>
      </c>
      <c r="FY4" t="e">
        <f>AND(Tareas!#REF!,"AAAAABWLnLQ=")</f>
        <v>#REF!</v>
      </c>
      <c r="FZ4" t="e">
        <f>AND(Tareas!#REF!,"AAAAABWLnLU=")</f>
        <v>#REF!</v>
      </c>
      <c r="GA4" t="e">
        <f>AND(Tareas!Q7,"AAAAABWLnLY=")</f>
        <v>#VALUE!</v>
      </c>
      <c r="GB4">
        <f>IF(Tareas!8:8,"AAAAABWLnLc=",0)</f>
        <v>0</v>
      </c>
      <c r="GC4" t="e">
        <f>AND(Tareas!A8,"AAAAABWLnLg=")</f>
        <v>#VALUE!</v>
      </c>
      <c r="GD4" t="e">
        <f>AND(Tareas!#REF!,"AAAAABWLnLk=")</f>
        <v>#REF!</v>
      </c>
      <c r="GE4" t="e">
        <f>AND(Tareas!B8,"AAAAABWLnLo=")</f>
        <v>#VALUE!</v>
      </c>
      <c r="GF4" t="e">
        <f>AND(Tareas!E8,"AAAAABWLnLs=")</f>
        <v>#VALUE!</v>
      </c>
      <c r="GG4" t="e">
        <f>AND(Tareas!H8,"AAAAABWLnLw=")</f>
        <v>#VALUE!</v>
      </c>
      <c r="GH4" t="e">
        <f>AND(Tareas!K8,"AAAAABWLnL0=")</f>
        <v>#VALUE!</v>
      </c>
      <c r="GI4" t="e">
        <f>AND(Tareas!#REF!,"AAAAABWLnL4=")</f>
        <v>#REF!</v>
      </c>
      <c r="GJ4" t="e">
        <f>AND(Tareas!#REF!,"AAAAABWLnL8=")</f>
        <v>#REF!</v>
      </c>
      <c r="GK4" t="e">
        <f>AND(Tareas!Q8,"AAAAABWLnMA=")</f>
        <v>#VALUE!</v>
      </c>
      <c r="GL4">
        <f>IF(Tareas!9:9,"AAAAABWLnME=",0)</f>
        <v>0</v>
      </c>
      <c r="GM4" t="e">
        <f>AND(Tareas!A9,"AAAAABWLnMI=")</f>
        <v>#VALUE!</v>
      </c>
      <c r="GN4" t="e">
        <f>AND(Tareas!#REF!,"AAAAABWLnMM=")</f>
        <v>#REF!</v>
      </c>
      <c r="GO4" t="e">
        <f>AND(Tareas!B9,"AAAAABWLnMQ=")</f>
        <v>#VALUE!</v>
      </c>
      <c r="GP4" t="e">
        <f>AND(Tareas!E9,"AAAAABWLnMU=")</f>
        <v>#VALUE!</v>
      </c>
      <c r="GQ4" t="e">
        <f>AND(Tareas!H9,"AAAAABWLnMY=")</f>
        <v>#VALUE!</v>
      </c>
      <c r="GR4" t="e">
        <f>AND(Tareas!K9,"AAAAABWLnMc=")</f>
        <v>#VALUE!</v>
      </c>
      <c r="GS4" t="e">
        <f>AND(Tareas!#REF!,"AAAAABWLnMg=")</f>
        <v>#REF!</v>
      </c>
      <c r="GT4" t="e">
        <f>AND(Tareas!#REF!,"AAAAABWLnMk=")</f>
        <v>#REF!</v>
      </c>
      <c r="GU4" t="e">
        <f>AND(Tareas!Q9,"AAAAABWLnMo=")</f>
        <v>#VALUE!</v>
      </c>
      <c r="GV4">
        <f>IF(Tareas!10:10,"AAAAABWLnMs=",0)</f>
        <v>0</v>
      </c>
      <c r="GW4" t="e">
        <f>AND(Tareas!A10,"AAAAABWLnMw=")</f>
        <v>#VALUE!</v>
      </c>
      <c r="GX4" t="e">
        <f>AND(Tareas!#REF!,"AAAAABWLnM0=")</f>
        <v>#REF!</v>
      </c>
      <c r="GY4" t="e">
        <f>AND(Tareas!B10,"AAAAABWLnM4=")</f>
        <v>#VALUE!</v>
      </c>
      <c r="GZ4" t="e">
        <f>AND(Tareas!E10,"AAAAABWLnM8=")</f>
        <v>#VALUE!</v>
      </c>
      <c r="HA4" t="e">
        <f>AND(Tareas!H10,"AAAAABWLnNA=")</f>
        <v>#VALUE!</v>
      </c>
      <c r="HB4" t="e">
        <f>AND(Tareas!K10,"AAAAABWLnNE=")</f>
        <v>#VALUE!</v>
      </c>
      <c r="HC4" t="e">
        <f>AND(Tareas!#REF!,"AAAAABWLnNI=")</f>
        <v>#REF!</v>
      </c>
      <c r="HD4" t="e">
        <f>AND(Tareas!#REF!,"AAAAABWLnNM=")</f>
        <v>#REF!</v>
      </c>
      <c r="HE4" t="e">
        <f>AND(Tareas!Q10,"AAAAABWLnNQ=")</f>
        <v>#VALUE!</v>
      </c>
      <c r="HF4">
        <f>IF(Tareas!11:11,"AAAAABWLnNU=",0)</f>
        <v>0</v>
      </c>
      <c r="HG4" t="e">
        <f>AND(Tareas!A11,"AAAAABWLnNY=")</f>
        <v>#VALUE!</v>
      </c>
      <c r="HH4" t="e">
        <f>AND(Tareas!#REF!,"AAAAABWLnNc=")</f>
        <v>#REF!</v>
      </c>
      <c r="HI4" t="e">
        <f>AND(Tareas!B11,"AAAAABWLnNg=")</f>
        <v>#VALUE!</v>
      </c>
      <c r="HJ4" t="e">
        <f>AND(Tareas!E11,"AAAAABWLnNk=")</f>
        <v>#VALUE!</v>
      </c>
      <c r="HK4" t="e">
        <f>AND(Tareas!H11,"AAAAABWLnNo=")</f>
        <v>#VALUE!</v>
      </c>
      <c r="HL4" t="e">
        <f>AND(Tareas!K11,"AAAAABWLnNs=")</f>
        <v>#VALUE!</v>
      </c>
      <c r="HM4" t="e">
        <f>AND(Tareas!#REF!,"AAAAABWLnNw=")</f>
        <v>#REF!</v>
      </c>
      <c r="HN4" t="e">
        <f>AND(Tareas!#REF!,"AAAAABWLnN0=")</f>
        <v>#REF!</v>
      </c>
      <c r="HO4" t="e">
        <f>AND(Tareas!Q11,"AAAAABWLnN4=")</f>
        <v>#VALUE!</v>
      </c>
      <c r="HP4">
        <f>IF(Tareas!12:12,"AAAAABWLnN8=",0)</f>
        <v>0</v>
      </c>
      <c r="HQ4" t="e">
        <f>AND(Tareas!A12,"AAAAABWLnOA=")</f>
        <v>#VALUE!</v>
      </c>
      <c r="HR4" t="e">
        <f>AND(Tareas!#REF!,"AAAAABWLnOE=")</f>
        <v>#REF!</v>
      </c>
      <c r="HS4" t="e">
        <f>AND(Tareas!B12,"AAAAABWLnOI=")</f>
        <v>#VALUE!</v>
      </c>
      <c r="HT4" t="e">
        <f>AND(Tareas!E12,"AAAAABWLnOM=")</f>
        <v>#VALUE!</v>
      </c>
      <c r="HU4" t="e">
        <f>AND(Tareas!H12,"AAAAABWLnOQ=")</f>
        <v>#VALUE!</v>
      </c>
      <c r="HV4" t="e">
        <f>AND(Tareas!K12,"AAAAABWLnOU=")</f>
        <v>#VALUE!</v>
      </c>
      <c r="HW4" t="e">
        <f>AND(Tareas!#REF!,"AAAAABWLnOY=")</f>
        <v>#REF!</v>
      </c>
      <c r="HX4" t="e">
        <f>AND(Tareas!#REF!,"AAAAABWLnOc=")</f>
        <v>#REF!</v>
      </c>
      <c r="HY4" t="e">
        <f>AND(Tareas!Q12,"AAAAABWLnOg=")</f>
        <v>#VALUE!</v>
      </c>
      <c r="HZ4">
        <f>IF(Tareas!13:13,"AAAAABWLnOk=",0)</f>
        <v>0</v>
      </c>
      <c r="IA4" t="e">
        <f>AND(Tareas!A13,"AAAAABWLnOo=")</f>
        <v>#VALUE!</v>
      </c>
      <c r="IB4" t="e">
        <f>AND(Tareas!#REF!,"AAAAABWLnOs=")</f>
        <v>#REF!</v>
      </c>
      <c r="IC4" t="e">
        <f>AND(Tareas!B13,"AAAAABWLnOw=")</f>
        <v>#VALUE!</v>
      </c>
      <c r="ID4" t="e">
        <f>AND(Tareas!E13,"AAAAABWLnO0=")</f>
        <v>#VALUE!</v>
      </c>
      <c r="IE4" t="e">
        <f>AND(Tareas!H13,"AAAAABWLnO4=")</f>
        <v>#VALUE!</v>
      </c>
      <c r="IF4" t="e">
        <f>AND(Tareas!K13,"AAAAABWLnO8=")</f>
        <v>#VALUE!</v>
      </c>
      <c r="IG4" t="e">
        <f>AND(Tareas!#REF!,"AAAAABWLnPA=")</f>
        <v>#REF!</v>
      </c>
      <c r="IH4" t="e">
        <f>AND(Tareas!#REF!,"AAAAABWLnPE=")</f>
        <v>#REF!</v>
      </c>
      <c r="II4" t="e">
        <f>AND(Tareas!Q13,"AAAAABWLnPI=")</f>
        <v>#VALUE!</v>
      </c>
      <c r="IJ4">
        <f>IF(Tareas!14:14,"AAAAABWLnPM=",0)</f>
        <v>0</v>
      </c>
      <c r="IK4" t="e">
        <f>AND(Tareas!A14,"AAAAABWLnPQ=")</f>
        <v>#VALUE!</v>
      </c>
      <c r="IL4" t="e">
        <f>AND(Tareas!#REF!,"AAAAABWLnPU=")</f>
        <v>#REF!</v>
      </c>
      <c r="IM4" t="e">
        <f>AND(Tareas!B14,"AAAAABWLnPY=")</f>
        <v>#VALUE!</v>
      </c>
      <c r="IN4" t="e">
        <f>AND(Tareas!E14,"AAAAABWLnPc=")</f>
        <v>#VALUE!</v>
      </c>
      <c r="IO4" t="e">
        <f>AND(Tareas!H14,"AAAAABWLnPg=")</f>
        <v>#VALUE!</v>
      </c>
      <c r="IP4" t="e">
        <f>AND(Tareas!K14,"AAAAABWLnPk=")</f>
        <v>#VALUE!</v>
      </c>
      <c r="IQ4" t="e">
        <f>AND(Tareas!#REF!,"AAAAABWLnPo=")</f>
        <v>#REF!</v>
      </c>
      <c r="IR4" t="e">
        <f>AND(Tareas!#REF!,"AAAAABWLnPs=")</f>
        <v>#REF!</v>
      </c>
      <c r="IS4" t="e">
        <f>AND(Tareas!Q14,"AAAAABWLnPw=")</f>
        <v>#VALUE!</v>
      </c>
      <c r="IT4">
        <f>IF(Tareas!15:15,"AAAAABWLnP0=",0)</f>
        <v>0</v>
      </c>
      <c r="IU4" t="e">
        <f>AND(Tareas!A15,"AAAAABWLnP4=")</f>
        <v>#VALUE!</v>
      </c>
      <c r="IV4" t="e">
        <f>AND(Tareas!#REF!,"AAAAABWLnP8=")</f>
        <v>#REF!</v>
      </c>
    </row>
    <row r="5" spans="1:256" x14ac:dyDescent="0.2">
      <c r="A5" t="e">
        <f>AND(Tareas!B15,"AAAAAH7+vgA=")</f>
        <v>#VALUE!</v>
      </c>
      <c r="B5" t="e">
        <f>AND(Tareas!E15,"AAAAAH7+vgE=")</f>
        <v>#VALUE!</v>
      </c>
      <c r="C5" t="e">
        <f>AND(Tareas!H15,"AAAAAH7+vgI=")</f>
        <v>#VALUE!</v>
      </c>
      <c r="D5" t="e">
        <f>AND(Tareas!K15,"AAAAAH7+vgM=")</f>
        <v>#VALUE!</v>
      </c>
      <c r="E5" t="e">
        <f>AND(Tareas!#REF!,"AAAAAH7+vgQ=")</f>
        <v>#REF!</v>
      </c>
      <c r="F5" t="e">
        <f>AND(Tareas!#REF!,"AAAAAH7+vgU=")</f>
        <v>#REF!</v>
      </c>
      <c r="G5" t="e">
        <f>AND(Tareas!Q15,"AAAAAH7+vgY=")</f>
        <v>#VALUE!</v>
      </c>
      <c r="H5" t="str">
        <f>IF(Tareas!16:16,"AAAAAH7+vgc=",0)</f>
        <v>AAAAAH7+vgc=</v>
      </c>
      <c r="I5" t="e">
        <f>AND(Tareas!A16,"AAAAAH7+vgg=")</f>
        <v>#VALUE!</v>
      </c>
      <c r="J5" t="e">
        <f>AND(Tareas!#REF!,"AAAAAH7+vgk=")</f>
        <v>#REF!</v>
      </c>
      <c r="K5" t="e">
        <f>AND(Tareas!B16,"AAAAAH7+vgo=")</f>
        <v>#VALUE!</v>
      </c>
      <c r="L5" t="e">
        <f>AND(Tareas!E16,"AAAAAH7+vgs=")</f>
        <v>#VALUE!</v>
      </c>
      <c r="M5" t="e">
        <f>AND(Tareas!H16,"AAAAAH7+vgw=")</f>
        <v>#VALUE!</v>
      </c>
      <c r="N5" t="e">
        <f>AND(Tareas!K16,"AAAAAH7+vg0=")</f>
        <v>#VALUE!</v>
      </c>
      <c r="O5" t="e">
        <f>AND(Tareas!#REF!,"AAAAAH7+vg4=")</f>
        <v>#REF!</v>
      </c>
      <c r="P5" t="e">
        <f>AND(Tareas!#REF!,"AAAAAH7+vg8=")</f>
        <v>#REF!</v>
      </c>
      <c r="Q5" t="e">
        <f>AND(Tareas!Q16,"AAAAAH7+vhA=")</f>
        <v>#VALUE!</v>
      </c>
      <c r="R5">
        <f>IF(Tareas!17:17,"AAAAAH7+vhE=",0)</f>
        <v>0</v>
      </c>
      <c r="S5" t="e">
        <f>AND(Tareas!A17,"AAAAAH7+vhI=")</f>
        <v>#VALUE!</v>
      </c>
      <c r="T5" t="e">
        <f>AND(Tareas!#REF!,"AAAAAH7+vhM=")</f>
        <v>#REF!</v>
      </c>
      <c r="U5" t="e">
        <f>AND(Tareas!B17,"AAAAAH7+vhQ=")</f>
        <v>#VALUE!</v>
      </c>
      <c r="V5" t="e">
        <f>AND(Tareas!E17,"AAAAAH7+vhU=")</f>
        <v>#VALUE!</v>
      </c>
      <c r="W5" t="e">
        <f>AND(Tareas!H17,"AAAAAH7+vhY=")</f>
        <v>#VALUE!</v>
      </c>
      <c r="X5" t="e">
        <f>AND(Tareas!K17,"AAAAAH7+vhc=")</f>
        <v>#VALUE!</v>
      </c>
      <c r="Y5" t="e">
        <f>AND(Tareas!#REF!,"AAAAAH7+vhg=")</f>
        <v>#REF!</v>
      </c>
      <c r="Z5" t="e">
        <f>AND(Tareas!#REF!,"AAAAAH7+vhk=")</f>
        <v>#REF!</v>
      </c>
      <c r="AA5" t="e">
        <f>AND(Tareas!Q17,"AAAAAH7+vho=")</f>
        <v>#VALUE!</v>
      </c>
      <c r="AB5">
        <f>IF(Tareas!18:18,"AAAAAH7+vhs=",0)</f>
        <v>0</v>
      </c>
      <c r="AC5" t="e">
        <f>AND(Tareas!A18,"AAAAAH7+vhw=")</f>
        <v>#VALUE!</v>
      </c>
      <c r="AD5" t="e">
        <f>AND(Tareas!#REF!,"AAAAAH7+vh0=")</f>
        <v>#REF!</v>
      </c>
      <c r="AE5" t="e">
        <f>AND(Tareas!B18,"AAAAAH7+vh4=")</f>
        <v>#VALUE!</v>
      </c>
      <c r="AF5" t="e">
        <f>AND(Tareas!E18,"AAAAAH7+vh8=")</f>
        <v>#VALUE!</v>
      </c>
      <c r="AG5" t="e">
        <f>AND(Tareas!H18,"AAAAAH7+viA=")</f>
        <v>#VALUE!</v>
      </c>
      <c r="AH5" t="e">
        <f>AND(Tareas!K18,"AAAAAH7+viE=")</f>
        <v>#VALUE!</v>
      </c>
      <c r="AI5" t="e">
        <f>AND(Tareas!#REF!,"AAAAAH7+viI=")</f>
        <v>#REF!</v>
      </c>
      <c r="AJ5" t="e">
        <f>AND(Tareas!#REF!,"AAAAAH7+viM=")</f>
        <v>#REF!</v>
      </c>
      <c r="AK5" t="e">
        <f>AND(Tareas!Q18,"AAAAAH7+viQ=")</f>
        <v>#VALUE!</v>
      </c>
      <c r="AL5">
        <f>IF(Tareas!19:19,"AAAAAH7+viU=",0)</f>
        <v>0</v>
      </c>
      <c r="AM5" t="e">
        <f>AND(Tareas!A19,"AAAAAH7+viY=")</f>
        <v>#VALUE!</v>
      </c>
      <c r="AN5" t="e">
        <f>AND(Tareas!#REF!,"AAAAAH7+vic=")</f>
        <v>#REF!</v>
      </c>
      <c r="AO5" t="e">
        <f>AND(Tareas!B19,"AAAAAH7+vig=")</f>
        <v>#VALUE!</v>
      </c>
      <c r="AP5" t="e">
        <f>AND(Tareas!E19,"AAAAAH7+vik=")</f>
        <v>#VALUE!</v>
      </c>
      <c r="AQ5" t="e">
        <f>AND(Tareas!H19,"AAAAAH7+vio=")</f>
        <v>#VALUE!</v>
      </c>
      <c r="AR5" t="e">
        <f>AND(Tareas!K19,"AAAAAH7+vis=")</f>
        <v>#VALUE!</v>
      </c>
      <c r="AS5" t="e">
        <f>AND(Tareas!#REF!,"AAAAAH7+viw=")</f>
        <v>#REF!</v>
      </c>
      <c r="AT5" t="e">
        <f>AND(Tareas!#REF!,"AAAAAH7+vi0=")</f>
        <v>#REF!</v>
      </c>
      <c r="AU5" t="e">
        <f>AND(Tareas!Q19,"AAAAAH7+vi4=")</f>
        <v>#VALUE!</v>
      </c>
      <c r="AV5">
        <f>IF(Tareas!20:20,"AAAAAH7+vi8=",0)</f>
        <v>0</v>
      </c>
      <c r="AW5" t="e">
        <f>AND(Tareas!A20,"AAAAAH7+vjA=")</f>
        <v>#VALUE!</v>
      </c>
      <c r="AX5" t="e">
        <f>AND(Tareas!#REF!,"AAAAAH7+vjE=")</f>
        <v>#REF!</v>
      </c>
      <c r="AY5" t="e">
        <f>AND(Tareas!B20,"AAAAAH7+vjI=")</f>
        <v>#VALUE!</v>
      </c>
      <c r="AZ5" t="e">
        <f>AND(Tareas!E20,"AAAAAH7+vjM=")</f>
        <v>#VALUE!</v>
      </c>
      <c r="BA5" t="e">
        <f>AND(Tareas!H20,"AAAAAH7+vjQ=")</f>
        <v>#VALUE!</v>
      </c>
      <c r="BB5" t="e">
        <f>AND(Tareas!K20,"AAAAAH7+vjU=")</f>
        <v>#VALUE!</v>
      </c>
      <c r="BC5" t="e">
        <f>AND(Tareas!#REF!,"AAAAAH7+vjY=")</f>
        <v>#REF!</v>
      </c>
      <c r="BD5" t="e">
        <f>AND(Tareas!#REF!,"AAAAAH7+vjc=")</f>
        <v>#REF!</v>
      </c>
      <c r="BE5" t="e">
        <f>AND(Tareas!Q20,"AAAAAH7+vjg=")</f>
        <v>#VALUE!</v>
      </c>
      <c r="BF5">
        <f>IF(Tareas!21:21,"AAAAAH7+vjk=",0)</f>
        <v>0</v>
      </c>
      <c r="BG5" t="e">
        <f>AND(Tareas!A21,"AAAAAH7+vjo=")</f>
        <v>#VALUE!</v>
      </c>
      <c r="BH5" t="e">
        <f>AND(Tareas!#REF!,"AAAAAH7+vjs=")</f>
        <v>#REF!</v>
      </c>
      <c r="BI5" t="e">
        <f>AND(Tareas!B21,"AAAAAH7+vjw=")</f>
        <v>#VALUE!</v>
      </c>
      <c r="BJ5" t="e">
        <f>AND(Tareas!E21,"AAAAAH7+vj0=")</f>
        <v>#VALUE!</v>
      </c>
      <c r="BK5" t="e">
        <f>AND(Tareas!H21,"AAAAAH7+vj4=")</f>
        <v>#VALUE!</v>
      </c>
      <c r="BL5" t="e">
        <f>AND(Tareas!K21,"AAAAAH7+vj8=")</f>
        <v>#VALUE!</v>
      </c>
      <c r="BM5" t="e">
        <f>AND(Tareas!#REF!,"AAAAAH7+vkA=")</f>
        <v>#REF!</v>
      </c>
      <c r="BN5" t="e">
        <f>AND(Tareas!#REF!,"AAAAAH7+vkE=")</f>
        <v>#REF!</v>
      </c>
      <c r="BO5" t="e">
        <f>AND(Tareas!Q21,"AAAAAH7+vkI=")</f>
        <v>#VALUE!</v>
      </c>
      <c r="BP5">
        <f>IF(Tareas!22:22,"AAAAAH7+vkM=",0)</f>
        <v>0</v>
      </c>
      <c r="BQ5" t="e">
        <f>AND(Tareas!A22,"AAAAAH7+vkQ=")</f>
        <v>#VALUE!</v>
      </c>
      <c r="BR5" t="e">
        <f>AND(Tareas!#REF!,"AAAAAH7+vkU=")</f>
        <v>#REF!</v>
      </c>
      <c r="BS5" t="e">
        <f>AND(Tareas!B22,"AAAAAH7+vkY=")</f>
        <v>#VALUE!</v>
      </c>
      <c r="BT5" t="e">
        <f>AND(Tareas!E22,"AAAAAH7+vkc=")</f>
        <v>#VALUE!</v>
      </c>
      <c r="BU5" t="e">
        <f>AND(Tareas!H22,"AAAAAH7+vkg=")</f>
        <v>#VALUE!</v>
      </c>
      <c r="BV5" t="e">
        <f>AND(Tareas!K22,"AAAAAH7+vkk=")</f>
        <v>#VALUE!</v>
      </c>
      <c r="BW5" t="e">
        <f>AND(Tareas!#REF!,"AAAAAH7+vko=")</f>
        <v>#REF!</v>
      </c>
      <c r="BX5" t="e">
        <f>AND(Tareas!#REF!,"AAAAAH7+vks=")</f>
        <v>#REF!</v>
      </c>
      <c r="BY5" t="e">
        <f>AND(Tareas!Q22,"AAAAAH7+vkw=")</f>
        <v>#VALUE!</v>
      </c>
      <c r="BZ5" t="e">
        <f>IF(Tareas!A:A,"AAAAAH7+vk0=",0)</f>
        <v>#VALUE!</v>
      </c>
      <c r="CA5" t="e">
        <f>IF(Tareas!#REF!,"AAAAAH7+vk4=",0)</f>
        <v>#REF!</v>
      </c>
      <c r="CB5" t="str">
        <f>IF(Tareas!B:B,"AAAAAH7+vk8=",0)</f>
        <v>AAAAAH7+vk8=</v>
      </c>
      <c r="CC5" t="str">
        <f>IF(Tareas!E:E,"AAAAAH7+vlA=",0)</f>
        <v>AAAAAH7+vlA=</v>
      </c>
      <c r="CD5" t="str">
        <f>IF(Tareas!H:H,"AAAAAH7+vlE=",0)</f>
        <v>AAAAAH7+vlE=</v>
      </c>
      <c r="CE5" t="str">
        <f>IF(Tareas!K:K,"AAAAAH7+vlI=",0)</f>
        <v>AAAAAH7+vlI=</v>
      </c>
      <c r="CF5" t="e">
        <f>IF(Tareas!#REF!,"AAAAAH7+vlM=",0)</f>
        <v>#REF!</v>
      </c>
      <c r="CG5" t="e">
        <f>IF(Tareas!#REF!,"AAAAAH7+vlQ=",0)</f>
        <v>#REF!</v>
      </c>
      <c r="CH5" t="str">
        <f>IF(Tareas!Q:Q,"AAAAAH7+vlU=",0)</f>
        <v>AAAAAH7+vlU=</v>
      </c>
      <c r="CI5" t="e">
        <f>IF(Examenes!#REF!,"AAAAAH7+vlY=",0)</f>
        <v>#REF!</v>
      </c>
      <c r="CJ5" t="e">
        <f>AND(Examenes!#REF!,"AAAAAH7+vlc=")</f>
        <v>#REF!</v>
      </c>
      <c r="CK5" t="e">
        <f>AND(Examenes!#REF!,"AAAAAH7+vlg=")</f>
        <v>#REF!</v>
      </c>
      <c r="CL5" t="e">
        <f>AND(Examenes!#REF!,"AAAAAH7+vlk=")</f>
        <v>#REF!</v>
      </c>
      <c r="CM5" t="e">
        <f>AND(Examenes!#REF!,"AAAAAH7+vlo=")</f>
        <v>#REF!</v>
      </c>
      <c r="CN5" t="e">
        <f>AND(Examenes!#REF!,"AAAAAH7+vls=")</f>
        <v>#REF!</v>
      </c>
      <c r="CO5" t="e">
        <f>AND(Examenes!#REF!,"AAAAAH7+vlw=")</f>
        <v>#REF!</v>
      </c>
      <c r="CP5" t="e">
        <f>AND(Examenes!#REF!,"AAAAAH7+vl0=")</f>
        <v>#REF!</v>
      </c>
      <c r="CQ5" t="e">
        <f>AND(Examenes!#REF!,"AAAAAH7+vl4=")</f>
        <v>#REF!</v>
      </c>
      <c r="CR5" t="e">
        <f>AND(Examenes!#REF!,"AAAAAH7+vl8=")</f>
        <v>#REF!</v>
      </c>
      <c r="CS5" t="e">
        <f>AND(Examenes!#REF!,"AAAAAH7+vmA=")</f>
        <v>#REF!</v>
      </c>
      <c r="CT5" t="e">
        <f>AND(Examenes!#REF!,"AAAAAH7+vmE=")</f>
        <v>#REF!</v>
      </c>
      <c r="CU5" t="e">
        <f>IF(Examenes!#REF!,"AAAAAH7+vmI=",0)</f>
        <v>#REF!</v>
      </c>
      <c r="CV5" t="e">
        <f>AND(Examenes!#REF!,"AAAAAH7+vmM=")</f>
        <v>#REF!</v>
      </c>
      <c r="CW5" t="e">
        <f>AND(Examenes!#REF!,"AAAAAH7+vmQ=")</f>
        <v>#REF!</v>
      </c>
      <c r="CX5" t="e">
        <f>AND(Examenes!#REF!,"AAAAAH7+vmU=")</f>
        <v>#REF!</v>
      </c>
      <c r="CY5" t="e">
        <f>AND(Examenes!#REF!,"AAAAAH7+vmY=")</f>
        <v>#REF!</v>
      </c>
      <c r="CZ5" t="e">
        <f>AND(Examenes!#REF!,"AAAAAH7+vmc=")</f>
        <v>#REF!</v>
      </c>
      <c r="DA5" t="e">
        <f>AND(Examenes!#REF!,"AAAAAH7+vmg=")</f>
        <v>#REF!</v>
      </c>
      <c r="DB5" t="e">
        <f>AND(Examenes!#REF!,"AAAAAH7+vmk=")</f>
        <v>#REF!</v>
      </c>
      <c r="DC5" t="e">
        <f>AND(Examenes!#REF!,"AAAAAH7+vmo=")</f>
        <v>#REF!</v>
      </c>
      <c r="DD5" t="e">
        <f>AND(Examenes!#REF!,"AAAAAH7+vms=")</f>
        <v>#REF!</v>
      </c>
      <c r="DE5" t="e">
        <f>AND(Examenes!#REF!,"AAAAAH7+vmw=")</f>
        <v>#REF!</v>
      </c>
      <c r="DF5" t="e">
        <f>AND(Examenes!#REF!,"AAAAAH7+vm0=")</f>
        <v>#REF!</v>
      </c>
      <c r="DG5" t="e">
        <f>IF(Examenes!#REF!,"AAAAAH7+vm4=",0)</f>
        <v>#REF!</v>
      </c>
      <c r="DH5" t="e">
        <f>AND(Examenes!#REF!,"AAAAAH7+vm8=")</f>
        <v>#REF!</v>
      </c>
      <c r="DI5" t="e">
        <f>AND(Examenes!#REF!,"AAAAAH7+vnA=")</f>
        <v>#REF!</v>
      </c>
      <c r="DJ5" t="e">
        <f>AND(Examenes!#REF!,"AAAAAH7+vnE=")</f>
        <v>#REF!</v>
      </c>
      <c r="DK5" t="e">
        <f>AND(Examenes!#REF!,"AAAAAH7+vnI=")</f>
        <v>#REF!</v>
      </c>
      <c r="DL5" t="e">
        <f>AND(Examenes!#REF!,"AAAAAH7+vnM=")</f>
        <v>#REF!</v>
      </c>
      <c r="DM5" t="e">
        <f>AND(Examenes!#REF!,"AAAAAH7+vnQ=")</f>
        <v>#REF!</v>
      </c>
      <c r="DN5" t="e">
        <f>AND(Examenes!#REF!,"AAAAAH7+vnU=")</f>
        <v>#REF!</v>
      </c>
      <c r="DO5" t="e">
        <f>AND(Examenes!#REF!,"AAAAAH7+vnY=")</f>
        <v>#REF!</v>
      </c>
      <c r="DP5" t="e">
        <f>AND(Examenes!#REF!,"AAAAAH7+vnc=")</f>
        <v>#REF!</v>
      </c>
      <c r="DQ5" t="e">
        <f>AND(Examenes!#REF!,"AAAAAH7+vng=")</f>
        <v>#REF!</v>
      </c>
      <c r="DR5" t="e">
        <f>AND(Examenes!#REF!,"AAAAAH7+vnk=")</f>
        <v>#REF!</v>
      </c>
      <c r="DS5" t="e">
        <f>IF(Examenes!#REF!,"AAAAAH7+vno=",0)</f>
        <v>#REF!</v>
      </c>
      <c r="DT5" t="e">
        <f>AND(Examenes!#REF!,"AAAAAH7+vns=")</f>
        <v>#REF!</v>
      </c>
      <c r="DU5" t="e">
        <f>AND(Examenes!#REF!,"AAAAAH7+vnw=")</f>
        <v>#REF!</v>
      </c>
      <c r="DV5" t="e">
        <f>AND(Examenes!#REF!,"AAAAAH7+vn0=")</f>
        <v>#REF!</v>
      </c>
      <c r="DW5" t="e">
        <f>AND(Examenes!#REF!,"AAAAAH7+vn4=")</f>
        <v>#REF!</v>
      </c>
      <c r="DX5" t="e">
        <f>AND(Examenes!#REF!,"AAAAAH7+vn8=")</f>
        <v>#REF!</v>
      </c>
      <c r="DY5" t="e">
        <f>AND(Examenes!#REF!,"AAAAAH7+voA=")</f>
        <v>#REF!</v>
      </c>
      <c r="DZ5" t="e">
        <f>AND(Examenes!#REF!,"AAAAAH7+voE=")</f>
        <v>#REF!</v>
      </c>
      <c r="EA5" t="e">
        <f>AND(Examenes!#REF!,"AAAAAH7+voI=")</f>
        <v>#REF!</v>
      </c>
      <c r="EB5" t="e">
        <f>AND(Examenes!#REF!,"AAAAAH7+voM=")</f>
        <v>#REF!</v>
      </c>
      <c r="EC5" t="e">
        <f>AND(Examenes!#REF!,"AAAAAH7+voQ=")</f>
        <v>#REF!</v>
      </c>
      <c r="ED5" t="e">
        <f>AND(Examenes!#REF!,"AAAAAH7+voU=")</f>
        <v>#REF!</v>
      </c>
      <c r="EE5" t="e">
        <f>IF(Examenes!#REF!,"AAAAAH7+voY=",0)</f>
        <v>#REF!</v>
      </c>
      <c r="EF5" t="e">
        <f>AND(Examenes!#REF!,"AAAAAH7+voc=")</f>
        <v>#REF!</v>
      </c>
      <c r="EG5" t="e">
        <f>AND(Examenes!#REF!,"AAAAAH7+vog=")</f>
        <v>#REF!</v>
      </c>
      <c r="EH5" t="e">
        <f>AND(Examenes!#REF!,"AAAAAH7+vok=")</f>
        <v>#REF!</v>
      </c>
      <c r="EI5" t="e">
        <f>AND(Examenes!#REF!,"AAAAAH7+voo=")</f>
        <v>#REF!</v>
      </c>
      <c r="EJ5" t="e">
        <f>AND(Examenes!#REF!,"AAAAAH7+vos=")</f>
        <v>#REF!</v>
      </c>
      <c r="EK5" t="e">
        <f>AND(Examenes!#REF!,"AAAAAH7+vow=")</f>
        <v>#REF!</v>
      </c>
      <c r="EL5" t="e">
        <f>AND(Examenes!#REF!,"AAAAAH7+vo0=")</f>
        <v>#REF!</v>
      </c>
      <c r="EM5" t="e">
        <f>AND(Examenes!#REF!,"AAAAAH7+vo4=")</f>
        <v>#REF!</v>
      </c>
      <c r="EN5" t="e">
        <f>AND(Examenes!#REF!,"AAAAAH7+vo8=")</f>
        <v>#REF!</v>
      </c>
      <c r="EO5" t="e">
        <f>AND(Examenes!#REF!,"AAAAAH7+vpA=")</f>
        <v>#REF!</v>
      </c>
      <c r="EP5" t="e">
        <f>AND(Examenes!#REF!,"AAAAAH7+vpE=")</f>
        <v>#REF!</v>
      </c>
      <c r="EQ5">
        <f>IF(Examenes!1:1,"AAAAAH7+vpI=",0)</f>
        <v>0</v>
      </c>
      <c r="ER5" t="e">
        <f>AND(Examenes!A1,"AAAAAH7+vpM=")</f>
        <v>#VALUE!</v>
      </c>
      <c r="ES5" t="e">
        <f>AND(Examenes!#REF!,"AAAAAH7+vpQ=")</f>
        <v>#REF!</v>
      </c>
      <c r="ET5" t="e">
        <f>AND(Examenes!B1,"AAAAAH7+vpU=")</f>
        <v>#VALUE!</v>
      </c>
      <c r="EU5" t="e">
        <f>AND(Examenes!#REF!,"AAAAAH7+vpY=")</f>
        <v>#REF!</v>
      </c>
      <c r="EV5" t="e">
        <f>AND(Examenes!D1,"AAAAAH7+vpc=")</f>
        <v>#VALUE!</v>
      </c>
      <c r="EW5" t="e">
        <f>AND(Examenes!E1,"AAAAAH7+vpg=")</f>
        <v>#VALUE!</v>
      </c>
      <c r="EX5" t="e">
        <f>AND(Examenes!#REF!,"AAAAAH7+vpk=")</f>
        <v>#REF!</v>
      </c>
      <c r="EY5" t="e">
        <f>AND(Examenes!G1,"AAAAAH7+vpo=")</f>
        <v>#VALUE!</v>
      </c>
      <c r="EZ5" t="e">
        <f>AND(Examenes!H1,"AAAAAH7+vps=")</f>
        <v>#VALUE!</v>
      </c>
      <c r="FA5" t="e">
        <f>AND(Examenes!#REF!,"AAAAAH7+vpw=")</f>
        <v>#REF!</v>
      </c>
      <c r="FB5" t="e">
        <f>AND(Examenes!J1,"AAAAAH7+vp0=")</f>
        <v>#VALUE!</v>
      </c>
      <c r="FC5">
        <f>IF(Examenes!2:2,"AAAAAH7+vp4=",0)</f>
        <v>0</v>
      </c>
      <c r="FD5" t="e">
        <f>AND(Examenes!A2,"AAAAAH7+vp8=")</f>
        <v>#VALUE!</v>
      </c>
      <c r="FE5" t="e">
        <f>AND(Examenes!#REF!,"AAAAAH7+vqA=")</f>
        <v>#REF!</v>
      </c>
      <c r="FF5" t="e">
        <f>AND(Examenes!B2,"AAAAAH7+vqE=")</f>
        <v>#VALUE!</v>
      </c>
      <c r="FG5" t="e">
        <f>AND(Examenes!#REF!,"AAAAAH7+vqI=")</f>
        <v>#REF!</v>
      </c>
      <c r="FH5" t="e">
        <f>AND(Examenes!D2,"AAAAAH7+vqM=")</f>
        <v>#VALUE!</v>
      </c>
      <c r="FI5" t="e">
        <f>AND(Examenes!E2,"AAAAAH7+vqQ=")</f>
        <v>#VALUE!</v>
      </c>
      <c r="FJ5" t="e">
        <f>AND(Examenes!#REF!,"AAAAAH7+vqU=")</f>
        <v>#REF!</v>
      </c>
      <c r="FK5" t="e">
        <f>AND(Examenes!G2,"AAAAAH7+vqY=")</f>
        <v>#VALUE!</v>
      </c>
      <c r="FL5" t="e">
        <f>AND(Examenes!H2,"AAAAAH7+vqc=")</f>
        <v>#VALUE!</v>
      </c>
      <c r="FM5" t="e">
        <f>AND(Examenes!#REF!,"AAAAAH7+vqg=")</f>
        <v>#REF!</v>
      </c>
      <c r="FN5" t="e">
        <f>AND(Examenes!J2,"AAAAAH7+vqk=")</f>
        <v>#VALUE!</v>
      </c>
      <c r="FO5">
        <f>IF(Examenes!3:3,"AAAAAH7+vqo=",0)</f>
        <v>0</v>
      </c>
      <c r="FP5" t="e">
        <f>AND(Examenes!A3,"AAAAAH7+vqs=")</f>
        <v>#VALUE!</v>
      </c>
      <c r="FQ5" t="e">
        <f>AND(Examenes!#REF!,"AAAAAH7+vqw=")</f>
        <v>#REF!</v>
      </c>
      <c r="FR5" t="e">
        <f>AND(Examenes!B3,"AAAAAH7+vq0=")</f>
        <v>#VALUE!</v>
      </c>
      <c r="FS5" t="e">
        <f>AND(Examenes!#REF!,"AAAAAH7+vq4=")</f>
        <v>#REF!</v>
      </c>
      <c r="FT5" t="e">
        <f>AND(Examenes!D3,"AAAAAH7+vq8=")</f>
        <v>#VALUE!</v>
      </c>
      <c r="FU5" t="e">
        <f>AND(Examenes!E3,"AAAAAH7+vrA=")</f>
        <v>#VALUE!</v>
      </c>
      <c r="FV5" t="e">
        <f>AND(Examenes!#REF!,"AAAAAH7+vrE=")</f>
        <v>#REF!</v>
      </c>
      <c r="FW5" t="e">
        <f>AND(Examenes!G3,"AAAAAH7+vrI=")</f>
        <v>#VALUE!</v>
      </c>
      <c r="FX5" t="e">
        <f>AND(Examenes!H3,"AAAAAH7+vrM=")</f>
        <v>#VALUE!</v>
      </c>
      <c r="FY5" t="e">
        <f>AND(Examenes!#REF!,"AAAAAH7+vrQ=")</f>
        <v>#REF!</v>
      </c>
      <c r="FZ5" t="e">
        <f>AND(Examenes!J3,"AAAAAH7+vrU=")</f>
        <v>#VALUE!</v>
      </c>
      <c r="GA5">
        <f>IF(Examenes!4:4,"AAAAAH7+vrY=",0)</f>
        <v>0</v>
      </c>
      <c r="GB5" t="e">
        <f>AND(Examenes!A4,"AAAAAH7+vrc=")</f>
        <v>#VALUE!</v>
      </c>
      <c r="GC5" t="e">
        <f>AND(Examenes!#REF!,"AAAAAH7+vrg=")</f>
        <v>#REF!</v>
      </c>
      <c r="GD5" t="e">
        <f>AND(Examenes!B4,"AAAAAH7+vrk=")</f>
        <v>#VALUE!</v>
      </c>
      <c r="GE5" t="e">
        <f>AND(Examenes!C4,"AAAAAH7+vro=")</f>
        <v>#VALUE!</v>
      </c>
      <c r="GF5" t="e">
        <f>AND(Examenes!D4,"AAAAAH7+vrs=")</f>
        <v>#VALUE!</v>
      </c>
      <c r="GG5" t="e">
        <f>AND(Examenes!E4,"AAAAAH7+vrw=")</f>
        <v>#VALUE!</v>
      </c>
      <c r="GH5" t="e">
        <f>AND(Examenes!F4,"AAAAAH7+vr0=")</f>
        <v>#VALUE!</v>
      </c>
      <c r="GI5" t="e">
        <f>AND(Examenes!G4,"AAAAAH7+vr4=")</f>
        <v>#VALUE!</v>
      </c>
      <c r="GJ5" t="e">
        <f>AND(Examenes!H4,"AAAAAH7+vr8=")</f>
        <v>#VALUE!</v>
      </c>
      <c r="GK5" t="e">
        <f>AND(Examenes!#REF!,"AAAAAH7+vsA=")</f>
        <v>#REF!</v>
      </c>
      <c r="GL5" t="e">
        <f>AND(Examenes!J4,"AAAAAH7+vsE=")</f>
        <v>#VALUE!</v>
      </c>
      <c r="GM5">
        <f>IF(Examenes!5:5,"AAAAAH7+vsI=",0)</f>
        <v>0</v>
      </c>
      <c r="GN5" t="e">
        <f>AND(Examenes!A5,"AAAAAH7+vsM=")</f>
        <v>#VALUE!</v>
      </c>
      <c r="GO5" t="e">
        <f>AND(Examenes!#REF!,"AAAAAH7+vsQ=")</f>
        <v>#REF!</v>
      </c>
      <c r="GP5" t="e">
        <f>AND(Examenes!B5,"AAAAAH7+vsU=")</f>
        <v>#VALUE!</v>
      </c>
      <c r="GQ5" t="e">
        <f>AND(Examenes!C5,"AAAAAH7+vsY=")</f>
        <v>#VALUE!</v>
      </c>
      <c r="GR5" t="e">
        <f>AND(Examenes!D5,"AAAAAH7+vsc=")</f>
        <v>#VALUE!</v>
      </c>
      <c r="GS5" t="e">
        <f>AND(Examenes!E5,"AAAAAH7+vsg=")</f>
        <v>#VALUE!</v>
      </c>
      <c r="GT5" t="e">
        <f>AND(Examenes!F5,"AAAAAH7+vsk=")</f>
        <v>#VALUE!</v>
      </c>
      <c r="GU5" t="e">
        <f>AND(Examenes!G5,"AAAAAH7+vso=")</f>
        <v>#VALUE!</v>
      </c>
      <c r="GV5" t="e">
        <f>AND(Examenes!H5,"AAAAAH7+vss=")</f>
        <v>#VALUE!</v>
      </c>
      <c r="GW5" t="e">
        <f>AND(Examenes!I5,"AAAAAH7+vsw=")</f>
        <v>#VALUE!</v>
      </c>
      <c r="GX5" t="e">
        <f>AND(Examenes!J5,"AAAAAH7+vs0=")</f>
        <v>#VALUE!</v>
      </c>
      <c r="GY5">
        <f>IF(Examenes!6:6,"AAAAAH7+vs4=",0)</f>
        <v>0</v>
      </c>
      <c r="GZ5" t="e">
        <f>AND(Examenes!A6,"AAAAAH7+vs8=")</f>
        <v>#VALUE!</v>
      </c>
      <c r="HA5" t="e">
        <f>AND(Examenes!#REF!,"AAAAAH7+vtA=")</f>
        <v>#REF!</v>
      </c>
      <c r="HB5" t="e">
        <f>AND(Examenes!B6,"AAAAAH7+vtE=")</f>
        <v>#VALUE!</v>
      </c>
      <c r="HC5" t="e">
        <f>AND(Examenes!C6,"AAAAAH7+vtI=")</f>
        <v>#VALUE!</v>
      </c>
      <c r="HD5" t="e">
        <f>AND(Examenes!D6,"AAAAAH7+vtM=")</f>
        <v>#VALUE!</v>
      </c>
      <c r="HE5" t="e">
        <f>AND(Examenes!E6,"AAAAAH7+vtQ=")</f>
        <v>#VALUE!</v>
      </c>
      <c r="HF5" t="e">
        <f>AND(Examenes!F6,"AAAAAH7+vtU=")</f>
        <v>#VALUE!</v>
      </c>
      <c r="HG5" t="e">
        <f>AND(Examenes!G6,"AAAAAH7+vtY=")</f>
        <v>#VALUE!</v>
      </c>
      <c r="HH5" t="e">
        <f>AND(Examenes!H6,"AAAAAH7+vtc=")</f>
        <v>#VALUE!</v>
      </c>
      <c r="HI5" t="e">
        <f>AND(Examenes!I6,"AAAAAH7+vtg=")</f>
        <v>#VALUE!</v>
      </c>
      <c r="HJ5" t="e">
        <f>AND(Examenes!J6,"AAAAAH7+vtk=")</f>
        <v>#VALUE!</v>
      </c>
      <c r="HK5">
        <f>IF(Examenes!7:7,"AAAAAH7+vto=",0)</f>
        <v>0</v>
      </c>
      <c r="HL5" t="e">
        <f>AND(Examenes!A7,"AAAAAH7+vts=")</f>
        <v>#VALUE!</v>
      </c>
      <c r="HM5" t="e">
        <f>AND(Examenes!#REF!,"AAAAAH7+vtw=")</f>
        <v>#REF!</v>
      </c>
      <c r="HN5" t="e">
        <f>AND(Examenes!B7,"AAAAAH7+vt0=")</f>
        <v>#VALUE!</v>
      </c>
      <c r="HO5" t="e">
        <f>AND(Examenes!C7,"AAAAAH7+vt4=")</f>
        <v>#VALUE!</v>
      </c>
      <c r="HP5" t="e">
        <f>AND(Examenes!D7,"AAAAAH7+vt8=")</f>
        <v>#VALUE!</v>
      </c>
      <c r="HQ5" t="e">
        <f>AND(Examenes!E7,"AAAAAH7+vuA=")</f>
        <v>#VALUE!</v>
      </c>
      <c r="HR5" t="e">
        <f>AND(Examenes!F7,"AAAAAH7+vuE=")</f>
        <v>#VALUE!</v>
      </c>
      <c r="HS5" t="e">
        <f>AND(Examenes!G7,"AAAAAH7+vuI=")</f>
        <v>#VALUE!</v>
      </c>
      <c r="HT5" t="e">
        <f>AND(Examenes!H7,"AAAAAH7+vuM=")</f>
        <v>#VALUE!</v>
      </c>
      <c r="HU5" t="e">
        <f>AND(Examenes!I7,"AAAAAH7+vuQ=")</f>
        <v>#VALUE!</v>
      </c>
      <c r="HV5" t="e">
        <f>AND(Examenes!J7,"AAAAAH7+vuU=")</f>
        <v>#VALUE!</v>
      </c>
      <c r="HW5">
        <f>IF(Examenes!8:8,"AAAAAH7+vuY=",0)</f>
        <v>0</v>
      </c>
      <c r="HX5" t="e">
        <f>AND(Examenes!A8,"AAAAAH7+vuc=")</f>
        <v>#VALUE!</v>
      </c>
      <c r="HY5" t="e">
        <f>AND(Examenes!#REF!,"AAAAAH7+vug=")</f>
        <v>#REF!</v>
      </c>
      <c r="HZ5" t="e">
        <f>AND(Examenes!B8,"AAAAAH7+vuk=")</f>
        <v>#VALUE!</v>
      </c>
      <c r="IA5" t="e">
        <f>AND(Examenes!C8,"AAAAAH7+vuo=")</f>
        <v>#VALUE!</v>
      </c>
      <c r="IB5" t="e">
        <f>AND(Examenes!D8,"AAAAAH7+vus=")</f>
        <v>#VALUE!</v>
      </c>
      <c r="IC5" t="e">
        <f>AND(Examenes!E8,"AAAAAH7+vuw=")</f>
        <v>#VALUE!</v>
      </c>
      <c r="ID5" t="e">
        <f>AND(Examenes!F8,"AAAAAH7+vu0=")</f>
        <v>#VALUE!</v>
      </c>
      <c r="IE5" t="e">
        <f>AND(Examenes!G8,"AAAAAH7+vu4=")</f>
        <v>#VALUE!</v>
      </c>
      <c r="IF5" t="e">
        <f>AND(Examenes!H8,"AAAAAH7+vu8=")</f>
        <v>#VALUE!</v>
      </c>
      <c r="IG5" t="e">
        <f>AND(Examenes!I8,"AAAAAH7+vvA=")</f>
        <v>#VALUE!</v>
      </c>
      <c r="IH5" t="e">
        <f>AND(Examenes!J8,"AAAAAH7+vvE=")</f>
        <v>#VALUE!</v>
      </c>
      <c r="II5">
        <f>IF(Examenes!9:9,"AAAAAH7+vvI=",0)</f>
        <v>0</v>
      </c>
      <c r="IJ5" t="e">
        <f>AND(Examenes!A9,"AAAAAH7+vvM=")</f>
        <v>#VALUE!</v>
      </c>
      <c r="IK5" t="e">
        <f>AND(Examenes!#REF!,"AAAAAH7+vvQ=")</f>
        <v>#REF!</v>
      </c>
      <c r="IL5" t="e">
        <f>AND(Examenes!B9,"AAAAAH7+vvU=")</f>
        <v>#VALUE!</v>
      </c>
      <c r="IM5" t="e">
        <f>AND(Examenes!C9,"AAAAAH7+vvY=")</f>
        <v>#VALUE!</v>
      </c>
      <c r="IN5" t="e">
        <f>AND(Examenes!D9,"AAAAAH7+vvc=")</f>
        <v>#VALUE!</v>
      </c>
      <c r="IO5" t="e">
        <f>AND(Examenes!E9,"AAAAAH7+vvg=")</f>
        <v>#VALUE!</v>
      </c>
      <c r="IP5" t="e">
        <f>AND(Examenes!F9,"AAAAAH7+vvk=")</f>
        <v>#VALUE!</v>
      </c>
      <c r="IQ5" t="e">
        <f>AND(Examenes!G9,"AAAAAH7+vvo=")</f>
        <v>#VALUE!</v>
      </c>
      <c r="IR5" t="e">
        <f>AND(Examenes!H9,"AAAAAH7+vvs=")</f>
        <v>#VALUE!</v>
      </c>
      <c r="IS5" t="e">
        <f>AND(Examenes!I9,"AAAAAH7+vvw=")</f>
        <v>#VALUE!</v>
      </c>
      <c r="IT5" t="e">
        <f>AND(Examenes!J9,"AAAAAH7+vv0=")</f>
        <v>#VALUE!</v>
      </c>
      <c r="IU5">
        <f>IF(Examenes!10:10,"AAAAAH7+vv4=",0)</f>
        <v>0</v>
      </c>
      <c r="IV5" t="e">
        <f>AND(Examenes!A10,"AAAAAH7+vv8=")</f>
        <v>#VALUE!</v>
      </c>
    </row>
    <row r="6" spans="1:256" x14ac:dyDescent="0.2">
      <c r="A6" t="e">
        <f>AND(Examenes!#REF!,"AAAAAD6r9QA=")</f>
        <v>#REF!</v>
      </c>
      <c r="B6" t="e">
        <f>AND(Examenes!B10,"AAAAAD6r9QE=")</f>
        <v>#VALUE!</v>
      </c>
      <c r="C6" t="e">
        <f>AND(Examenes!C10,"AAAAAD6r9QI=")</f>
        <v>#VALUE!</v>
      </c>
      <c r="D6" t="e">
        <f>AND(Examenes!D10,"AAAAAD6r9QM=")</f>
        <v>#VALUE!</v>
      </c>
      <c r="E6" t="e">
        <f>AND(Examenes!E10,"AAAAAD6r9QQ=")</f>
        <v>#VALUE!</v>
      </c>
      <c r="F6" t="e">
        <f>AND(Examenes!F10,"AAAAAD6r9QU=")</f>
        <v>#VALUE!</v>
      </c>
      <c r="G6" t="e">
        <f>AND(Examenes!G10,"AAAAAD6r9QY=")</f>
        <v>#VALUE!</v>
      </c>
      <c r="H6" t="e">
        <f>AND(Examenes!H10,"AAAAAD6r9Qc=")</f>
        <v>#VALUE!</v>
      </c>
      <c r="I6" t="e">
        <f>AND(Examenes!I10,"AAAAAD6r9Qg=")</f>
        <v>#VALUE!</v>
      </c>
      <c r="J6" t="e">
        <f>AND(Examenes!J10,"AAAAAD6r9Qk=")</f>
        <v>#VALUE!</v>
      </c>
      <c r="K6">
        <f>IF(Examenes!11:11,"AAAAAD6r9Qo=",0)</f>
        <v>0</v>
      </c>
      <c r="L6" t="e">
        <f>AND(Examenes!A11,"AAAAAD6r9Qs=")</f>
        <v>#VALUE!</v>
      </c>
      <c r="M6" t="e">
        <f>AND(Examenes!#REF!,"AAAAAD6r9Qw=")</f>
        <v>#REF!</v>
      </c>
      <c r="N6" t="e">
        <f>AND(Examenes!B11,"AAAAAD6r9Q0=")</f>
        <v>#VALUE!</v>
      </c>
      <c r="O6" t="e">
        <f>AND(Examenes!C11,"AAAAAD6r9Q4=")</f>
        <v>#VALUE!</v>
      </c>
      <c r="P6" t="e">
        <f>AND(Examenes!D11,"AAAAAD6r9Q8=")</f>
        <v>#VALUE!</v>
      </c>
      <c r="Q6" t="e">
        <f>AND(Examenes!E11,"AAAAAD6r9RA=")</f>
        <v>#VALUE!</v>
      </c>
      <c r="R6" t="e">
        <f>AND(Examenes!F11,"AAAAAD6r9RE=")</f>
        <v>#VALUE!</v>
      </c>
      <c r="S6" t="e">
        <f>AND(Examenes!G11,"AAAAAD6r9RI=")</f>
        <v>#VALUE!</v>
      </c>
      <c r="T6" t="e">
        <f>AND(Examenes!H11,"AAAAAD6r9RM=")</f>
        <v>#VALUE!</v>
      </c>
      <c r="U6" t="e">
        <f>AND(Examenes!I11,"AAAAAD6r9RQ=")</f>
        <v>#VALUE!</v>
      </c>
      <c r="V6" t="e">
        <f>AND(Examenes!J11,"AAAAAD6r9RU=")</f>
        <v>#VALUE!</v>
      </c>
      <c r="W6">
        <f>IF(Examenes!12:12,"AAAAAD6r9RY=",0)</f>
        <v>0</v>
      </c>
      <c r="X6" t="e">
        <f>AND(Examenes!A12,"AAAAAD6r9Rc=")</f>
        <v>#VALUE!</v>
      </c>
      <c r="Y6" t="e">
        <f>AND(Examenes!#REF!,"AAAAAD6r9Rg=")</f>
        <v>#REF!</v>
      </c>
      <c r="Z6" t="e">
        <f>AND(Examenes!B12,"AAAAAD6r9Rk=")</f>
        <v>#VALUE!</v>
      </c>
      <c r="AA6" t="e">
        <f>AND(Examenes!C12,"AAAAAD6r9Ro=")</f>
        <v>#VALUE!</v>
      </c>
      <c r="AB6" t="e">
        <f>AND(Examenes!D12,"AAAAAD6r9Rs=")</f>
        <v>#VALUE!</v>
      </c>
      <c r="AC6" t="e">
        <f>AND(Examenes!E12,"AAAAAD6r9Rw=")</f>
        <v>#VALUE!</v>
      </c>
      <c r="AD6" t="e">
        <f>AND(Examenes!F12,"AAAAAD6r9R0=")</f>
        <v>#VALUE!</v>
      </c>
      <c r="AE6" t="e">
        <f>AND(Examenes!G12,"AAAAAD6r9R4=")</f>
        <v>#VALUE!</v>
      </c>
      <c r="AF6" t="e">
        <f>AND(Examenes!H12,"AAAAAD6r9R8=")</f>
        <v>#VALUE!</v>
      </c>
      <c r="AG6" t="e">
        <f>AND(Examenes!I12,"AAAAAD6r9SA=")</f>
        <v>#VALUE!</v>
      </c>
      <c r="AH6" t="e">
        <f>AND(Examenes!J12,"AAAAAD6r9SE=")</f>
        <v>#VALUE!</v>
      </c>
      <c r="AI6">
        <f>IF(Examenes!13:13,"AAAAAD6r9SI=",0)</f>
        <v>0</v>
      </c>
      <c r="AJ6" t="e">
        <f>AND(Examenes!A13,"AAAAAD6r9SM=")</f>
        <v>#VALUE!</v>
      </c>
      <c r="AK6" t="e">
        <f>AND(Examenes!#REF!,"AAAAAD6r9SQ=")</f>
        <v>#REF!</v>
      </c>
      <c r="AL6" t="e">
        <f>AND(Examenes!B13,"AAAAAD6r9SU=")</f>
        <v>#VALUE!</v>
      </c>
      <c r="AM6" t="e">
        <f>AND(Examenes!C13,"AAAAAD6r9SY=")</f>
        <v>#VALUE!</v>
      </c>
      <c r="AN6" t="e">
        <f>AND(Examenes!D13,"AAAAAD6r9Sc=")</f>
        <v>#VALUE!</v>
      </c>
      <c r="AO6" t="e">
        <f>AND(Examenes!E13,"AAAAAD6r9Sg=")</f>
        <v>#VALUE!</v>
      </c>
      <c r="AP6" t="e">
        <f>AND(Examenes!F13,"AAAAAD6r9Sk=")</f>
        <v>#VALUE!</v>
      </c>
      <c r="AQ6" t="e">
        <f>AND(Examenes!G13,"AAAAAD6r9So=")</f>
        <v>#VALUE!</v>
      </c>
      <c r="AR6" t="e">
        <f>AND(Examenes!H13,"AAAAAD6r9Ss=")</f>
        <v>#VALUE!</v>
      </c>
      <c r="AS6" t="e">
        <f>AND(Examenes!I13,"AAAAAD6r9Sw=")</f>
        <v>#VALUE!</v>
      </c>
      <c r="AT6" t="e">
        <f>AND(Examenes!J13,"AAAAAD6r9S0=")</f>
        <v>#VALUE!</v>
      </c>
      <c r="AU6">
        <f>IF(Examenes!14:14,"AAAAAD6r9S4=",0)</f>
        <v>0</v>
      </c>
      <c r="AV6" t="e">
        <f>AND(Examenes!A14,"AAAAAD6r9S8=")</f>
        <v>#VALUE!</v>
      </c>
      <c r="AW6" t="e">
        <f>AND(Examenes!#REF!,"AAAAAD6r9TA=")</f>
        <v>#REF!</v>
      </c>
      <c r="AX6" t="e">
        <f>AND(Examenes!B14,"AAAAAD6r9TE=")</f>
        <v>#VALUE!</v>
      </c>
      <c r="AY6" t="e">
        <f>AND(Examenes!C14,"AAAAAD6r9TI=")</f>
        <v>#VALUE!</v>
      </c>
      <c r="AZ6" t="e">
        <f>AND(Examenes!D14,"AAAAAD6r9TM=")</f>
        <v>#VALUE!</v>
      </c>
      <c r="BA6" t="e">
        <f>AND(Examenes!E14,"AAAAAD6r9TQ=")</f>
        <v>#VALUE!</v>
      </c>
      <c r="BB6" t="e">
        <f>AND(Examenes!F14,"AAAAAD6r9TU=")</f>
        <v>#VALUE!</v>
      </c>
      <c r="BC6" t="e">
        <f>AND(Examenes!G14,"AAAAAD6r9TY=")</f>
        <v>#VALUE!</v>
      </c>
      <c r="BD6" t="e">
        <f>AND(Examenes!H14,"AAAAAD6r9Tc=")</f>
        <v>#VALUE!</v>
      </c>
      <c r="BE6" t="e">
        <f>AND(Examenes!I14,"AAAAAD6r9Tg=")</f>
        <v>#VALUE!</v>
      </c>
      <c r="BF6" t="e">
        <f>AND(Examenes!J14,"AAAAAD6r9Tk=")</f>
        <v>#VALUE!</v>
      </c>
      <c r="BG6">
        <f>IF(Examenes!15:15,"AAAAAD6r9To=",0)</f>
        <v>0</v>
      </c>
      <c r="BH6" t="e">
        <f>AND(Examenes!A15,"AAAAAD6r9Ts=")</f>
        <v>#VALUE!</v>
      </c>
      <c r="BI6" t="e">
        <f>AND(Examenes!#REF!,"AAAAAD6r9Tw=")</f>
        <v>#REF!</v>
      </c>
      <c r="BJ6" t="e">
        <f>AND(Examenes!B15,"AAAAAD6r9T0=")</f>
        <v>#VALUE!</v>
      </c>
      <c r="BK6" t="e">
        <f>AND(Examenes!C15,"AAAAAD6r9T4=")</f>
        <v>#VALUE!</v>
      </c>
      <c r="BL6" t="e">
        <f>AND(Examenes!D15,"AAAAAD6r9T8=")</f>
        <v>#VALUE!</v>
      </c>
      <c r="BM6" t="e">
        <f>AND(Examenes!E15,"AAAAAD6r9UA=")</f>
        <v>#VALUE!</v>
      </c>
      <c r="BN6" t="e">
        <f>AND(Examenes!F15,"AAAAAD6r9UE=")</f>
        <v>#VALUE!</v>
      </c>
      <c r="BO6" t="e">
        <f>AND(Examenes!G15,"AAAAAD6r9UI=")</f>
        <v>#VALUE!</v>
      </c>
      <c r="BP6" t="e">
        <f>AND(Examenes!H15,"AAAAAD6r9UM=")</f>
        <v>#VALUE!</v>
      </c>
      <c r="BQ6" t="e">
        <f>AND(Examenes!I15,"AAAAAD6r9UQ=")</f>
        <v>#VALUE!</v>
      </c>
      <c r="BR6" t="e">
        <f>AND(Examenes!J15,"AAAAAD6r9UU=")</f>
        <v>#VALUE!</v>
      </c>
      <c r="BS6">
        <f>IF(Examenes!16:16,"AAAAAD6r9UY=",0)</f>
        <v>0</v>
      </c>
      <c r="BT6" t="e">
        <f>AND(Examenes!A16,"AAAAAD6r9Uc=")</f>
        <v>#VALUE!</v>
      </c>
      <c r="BU6" t="e">
        <f>AND(Examenes!#REF!,"AAAAAD6r9Ug=")</f>
        <v>#REF!</v>
      </c>
      <c r="BV6" t="e">
        <f>AND(Examenes!B16,"AAAAAD6r9Uk=")</f>
        <v>#VALUE!</v>
      </c>
      <c r="BW6" t="e">
        <f>AND(Examenes!C16,"AAAAAD6r9Uo=")</f>
        <v>#VALUE!</v>
      </c>
      <c r="BX6" t="e">
        <f>AND(Examenes!D16,"AAAAAD6r9Us=")</f>
        <v>#VALUE!</v>
      </c>
      <c r="BY6" t="e">
        <f>AND(Examenes!E16,"AAAAAD6r9Uw=")</f>
        <v>#VALUE!</v>
      </c>
      <c r="BZ6" t="e">
        <f>AND(Examenes!F16,"AAAAAD6r9U0=")</f>
        <v>#VALUE!</v>
      </c>
      <c r="CA6" t="e">
        <f>AND(Examenes!G16,"AAAAAD6r9U4=")</f>
        <v>#VALUE!</v>
      </c>
      <c r="CB6" t="e">
        <f>AND(Examenes!H16,"AAAAAD6r9U8=")</f>
        <v>#VALUE!</v>
      </c>
      <c r="CC6" t="e">
        <f>AND(Examenes!I16,"AAAAAD6r9VA=")</f>
        <v>#VALUE!</v>
      </c>
      <c r="CD6" t="e">
        <f>AND(Examenes!J16,"AAAAAD6r9VE=")</f>
        <v>#VALUE!</v>
      </c>
      <c r="CE6">
        <f>IF(Examenes!17:17,"AAAAAD6r9VI=",0)</f>
        <v>0</v>
      </c>
      <c r="CF6" t="e">
        <f>AND(Examenes!A17,"AAAAAD6r9VM=")</f>
        <v>#VALUE!</v>
      </c>
      <c r="CG6" t="e">
        <f>AND(Examenes!#REF!,"AAAAAD6r9VQ=")</f>
        <v>#REF!</v>
      </c>
      <c r="CH6" t="e">
        <f>AND(Examenes!B17,"AAAAAD6r9VU=")</f>
        <v>#VALUE!</v>
      </c>
      <c r="CI6" t="e">
        <f>AND(Examenes!C17,"AAAAAD6r9VY=")</f>
        <v>#VALUE!</v>
      </c>
      <c r="CJ6" t="e">
        <f>AND(Examenes!D17,"AAAAAD6r9Vc=")</f>
        <v>#VALUE!</v>
      </c>
      <c r="CK6" t="e">
        <f>AND(Examenes!E17,"AAAAAD6r9Vg=")</f>
        <v>#VALUE!</v>
      </c>
      <c r="CL6" t="e">
        <f>AND(Examenes!F17,"AAAAAD6r9Vk=")</f>
        <v>#VALUE!</v>
      </c>
      <c r="CM6" t="e">
        <f>AND(Examenes!G17,"AAAAAD6r9Vo=")</f>
        <v>#VALUE!</v>
      </c>
      <c r="CN6" t="e">
        <f>AND(Examenes!H17,"AAAAAD6r9Vs=")</f>
        <v>#VALUE!</v>
      </c>
      <c r="CO6" t="e">
        <f>AND(Examenes!I17,"AAAAAD6r9Vw=")</f>
        <v>#VALUE!</v>
      </c>
      <c r="CP6" t="e">
        <f>AND(Examenes!J17,"AAAAAD6r9V0=")</f>
        <v>#VALUE!</v>
      </c>
      <c r="CQ6">
        <f>IF(Examenes!18:18,"AAAAAD6r9V4=",0)</f>
        <v>0</v>
      </c>
      <c r="CR6" t="e">
        <f>AND(Examenes!A18,"AAAAAD6r9V8=")</f>
        <v>#VALUE!</v>
      </c>
      <c r="CS6" t="e">
        <f>AND(Examenes!#REF!,"AAAAAD6r9WA=")</f>
        <v>#REF!</v>
      </c>
      <c r="CT6" t="e">
        <f>AND(Examenes!B18,"AAAAAD6r9WE=")</f>
        <v>#VALUE!</v>
      </c>
      <c r="CU6" t="e">
        <f>AND(Examenes!C18,"AAAAAD6r9WI=")</f>
        <v>#VALUE!</v>
      </c>
      <c r="CV6" t="e">
        <f>AND(Examenes!D18,"AAAAAD6r9WM=")</f>
        <v>#VALUE!</v>
      </c>
      <c r="CW6" t="e">
        <f>AND(Examenes!E18,"AAAAAD6r9WQ=")</f>
        <v>#VALUE!</v>
      </c>
      <c r="CX6" t="e">
        <f>AND(Examenes!F18,"AAAAAD6r9WU=")</f>
        <v>#VALUE!</v>
      </c>
      <c r="CY6" t="e">
        <f>AND(Examenes!G18,"AAAAAD6r9WY=")</f>
        <v>#VALUE!</v>
      </c>
      <c r="CZ6" t="e">
        <f>AND(Examenes!H18,"AAAAAD6r9Wc=")</f>
        <v>#VALUE!</v>
      </c>
      <c r="DA6" t="e">
        <f>AND(Examenes!I18,"AAAAAD6r9Wg=")</f>
        <v>#VALUE!</v>
      </c>
      <c r="DB6" t="e">
        <f>AND(Examenes!J18,"AAAAAD6r9Wk=")</f>
        <v>#VALUE!</v>
      </c>
      <c r="DC6">
        <f>IF(Examenes!19:19,"AAAAAD6r9Wo=",0)</f>
        <v>0</v>
      </c>
      <c r="DD6" t="e">
        <f>AND(Examenes!A19,"AAAAAD6r9Ws=")</f>
        <v>#VALUE!</v>
      </c>
      <c r="DE6" t="e">
        <f>AND(Examenes!#REF!,"AAAAAD6r9Ww=")</f>
        <v>#REF!</v>
      </c>
      <c r="DF6" t="e">
        <f>AND(Examenes!B19,"AAAAAD6r9W0=")</f>
        <v>#VALUE!</v>
      </c>
      <c r="DG6" t="e">
        <f>AND(Examenes!C19,"AAAAAD6r9W4=")</f>
        <v>#VALUE!</v>
      </c>
      <c r="DH6" t="e">
        <f>AND(Examenes!D19,"AAAAAD6r9W8=")</f>
        <v>#VALUE!</v>
      </c>
      <c r="DI6" t="e">
        <f>AND(Examenes!E19,"AAAAAD6r9XA=")</f>
        <v>#VALUE!</v>
      </c>
      <c r="DJ6" t="e">
        <f>AND(Examenes!F19,"AAAAAD6r9XE=")</f>
        <v>#VALUE!</v>
      </c>
      <c r="DK6" t="e">
        <f>AND(Examenes!G19,"AAAAAD6r9XI=")</f>
        <v>#VALUE!</v>
      </c>
      <c r="DL6" t="e">
        <f>AND(Examenes!H19,"AAAAAD6r9XM=")</f>
        <v>#VALUE!</v>
      </c>
      <c r="DM6" t="e">
        <f>AND(Examenes!I19,"AAAAAD6r9XQ=")</f>
        <v>#VALUE!</v>
      </c>
      <c r="DN6" t="e">
        <f>AND(Examenes!J19,"AAAAAD6r9XU=")</f>
        <v>#VALUE!</v>
      </c>
      <c r="DO6">
        <f>IF(Examenes!20:20,"AAAAAD6r9XY=",0)</f>
        <v>0</v>
      </c>
      <c r="DP6" t="e">
        <f>AND(Examenes!A20,"AAAAAD6r9Xc=")</f>
        <v>#VALUE!</v>
      </c>
      <c r="DQ6" t="e">
        <f>AND(Examenes!#REF!,"AAAAAD6r9Xg=")</f>
        <v>#REF!</v>
      </c>
      <c r="DR6" t="e">
        <f>AND(Examenes!B20,"AAAAAD6r9Xk=")</f>
        <v>#VALUE!</v>
      </c>
      <c r="DS6" t="e">
        <f>AND(Examenes!C20,"AAAAAD6r9Xo=")</f>
        <v>#VALUE!</v>
      </c>
      <c r="DT6" t="e">
        <f>AND(Examenes!D20,"AAAAAD6r9Xs=")</f>
        <v>#VALUE!</v>
      </c>
      <c r="DU6" t="e">
        <f>AND(Examenes!E20,"AAAAAD6r9Xw=")</f>
        <v>#VALUE!</v>
      </c>
      <c r="DV6" t="e">
        <f>AND(Examenes!F20,"AAAAAD6r9X0=")</f>
        <v>#VALUE!</v>
      </c>
      <c r="DW6" t="e">
        <f>AND(Examenes!G20,"AAAAAD6r9X4=")</f>
        <v>#VALUE!</v>
      </c>
      <c r="DX6" t="e">
        <f>AND(Examenes!H20,"AAAAAD6r9X8=")</f>
        <v>#VALUE!</v>
      </c>
      <c r="DY6" t="e">
        <f>AND(Examenes!I20,"AAAAAD6r9YA=")</f>
        <v>#VALUE!</v>
      </c>
      <c r="DZ6" t="e">
        <f>AND(Examenes!J20,"AAAAAD6r9YE=")</f>
        <v>#VALUE!</v>
      </c>
      <c r="EA6">
        <f>IF(Examenes!21:21,"AAAAAD6r9YI=",0)</f>
        <v>0</v>
      </c>
      <c r="EB6" t="e">
        <f>AND(Examenes!A21,"AAAAAD6r9YM=")</f>
        <v>#VALUE!</v>
      </c>
      <c r="EC6" t="e">
        <f>AND(Examenes!#REF!,"AAAAAD6r9YQ=")</f>
        <v>#REF!</v>
      </c>
      <c r="ED6" t="e">
        <f>AND(Examenes!B21,"AAAAAD6r9YU=")</f>
        <v>#VALUE!</v>
      </c>
      <c r="EE6" t="e">
        <f>AND(Examenes!C21,"AAAAAD6r9YY=")</f>
        <v>#VALUE!</v>
      </c>
      <c r="EF6" t="e">
        <f>AND(Examenes!D21,"AAAAAD6r9Yc=")</f>
        <v>#VALUE!</v>
      </c>
      <c r="EG6" t="e">
        <f>AND(Examenes!E21,"AAAAAD6r9Yg=")</f>
        <v>#VALUE!</v>
      </c>
      <c r="EH6" t="e">
        <f>AND(Examenes!F21,"AAAAAD6r9Yk=")</f>
        <v>#VALUE!</v>
      </c>
      <c r="EI6" t="e">
        <f>AND(Examenes!G21,"AAAAAD6r9Yo=")</f>
        <v>#VALUE!</v>
      </c>
      <c r="EJ6" t="e">
        <f>AND(Examenes!H21,"AAAAAD6r9Ys=")</f>
        <v>#VALUE!</v>
      </c>
      <c r="EK6" t="e">
        <f>AND(Examenes!I21,"AAAAAD6r9Yw=")</f>
        <v>#VALUE!</v>
      </c>
      <c r="EL6" t="e">
        <f>AND(Examenes!J21,"AAAAAD6r9Y0=")</f>
        <v>#VALUE!</v>
      </c>
      <c r="EM6">
        <f>IF(Examenes!22:22,"AAAAAD6r9Y4=",0)</f>
        <v>0</v>
      </c>
      <c r="EN6" t="e">
        <f>AND(Examenes!A22,"AAAAAD6r9Y8=")</f>
        <v>#VALUE!</v>
      </c>
      <c r="EO6" t="e">
        <f>AND(Examenes!#REF!,"AAAAAD6r9ZA=")</f>
        <v>#REF!</v>
      </c>
      <c r="EP6" t="e">
        <f>AND(Examenes!B22,"AAAAAD6r9ZE=")</f>
        <v>#VALUE!</v>
      </c>
      <c r="EQ6" t="e">
        <f>AND(Examenes!C22,"AAAAAD6r9ZI=")</f>
        <v>#VALUE!</v>
      </c>
      <c r="ER6" t="e">
        <f>AND(Examenes!D22,"AAAAAD6r9ZM=")</f>
        <v>#VALUE!</v>
      </c>
      <c r="ES6" t="e">
        <f>AND(Examenes!E22,"AAAAAD6r9ZQ=")</f>
        <v>#VALUE!</v>
      </c>
      <c r="ET6" t="e">
        <f>AND(Examenes!F22,"AAAAAD6r9ZU=")</f>
        <v>#VALUE!</v>
      </c>
      <c r="EU6" t="e">
        <f>AND(Examenes!G22,"AAAAAD6r9ZY=")</f>
        <v>#VALUE!</v>
      </c>
      <c r="EV6" t="e">
        <f>AND(Examenes!H22,"AAAAAD6r9Zc=")</f>
        <v>#VALUE!</v>
      </c>
      <c r="EW6" t="e">
        <f>AND(Examenes!I22,"AAAAAD6r9Zg=")</f>
        <v>#VALUE!</v>
      </c>
      <c r="EX6" t="e">
        <f>AND(Examenes!J22,"AAAAAD6r9Zk=")</f>
        <v>#VALUE!</v>
      </c>
      <c r="EY6">
        <f>IF(Examenes!29:29,"AAAAAD6r9Zo=",0)</f>
        <v>0</v>
      </c>
      <c r="EZ6" t="e">
        <f>AND(Examenes!A23,"AAAAAD6r9Zs=")</f>
        <v>#VALUE!</v>
      </c>
      <c r="FA6" t="e">
        <f>AND(Examenes!#REF!,"AAAAAD6r9Zw=")</f>
        <v>#REF!</v>
      </c>
      <c r="FB6" t="e">
        <f>AND(Examenes!B29,"AAAAAD6r9Z0=")</f>
        <v>#VALUE!</v>
      </c>
      <c r="FC6" t="e">
        <f>AND(Examenes!C29,"AAAAAD6r9Z4=")</f>
        <v>#VALUE!</v>
      </c>
      <c r="FD6" t="e">
        <f>AND(Examenes!D29,"AAAAAD6r9Z8=")</f>
        <v>#VALUE!</v>
      </c>
      <c r="FE6" t="e">
        <f>AND(Examenes!E29,"AAAAAD6r9aA=")</f>
        <v>#VALUE!</v>
      </c>
      <c r="FF6" t="e">
        <f>AND(Examenes!F29,"AAAAAD6r9aE=")</f>
        <v>#VALUE!</v>
      </c>
      <c r="FG6" t="e">
        <f>AND(Examenes!G29,"AAAAAD6r9aI=")</f>
        <v>#VALUE!</v>
      </c>
      <c r="FH6" t="e">
        <f>AND(Examenes!H29,"AAAAAD6r9aM=")</f>
        <v>#VALUE!</v>
      </c>
      <c r="FI6" t="e">
        <f>AND(Examenes!#REF!,"AAAAAD6r9aQ=")</f>
        <v>#REF!</v>
      </c>
      <c r="FJ6" t="e">
        <f>AND(Examenes!J29,"AAAAAD6r9aU=")</f>
        <v>#VALUE!</v>
      </c>
      <c r="FK6">
        <f>IF(Examenes!30:30,"AAAAAD6r9aY=",0)</f>
        <v>0</v>
      </c>
      <c r="FL6" t="e">
        <f>AND(Examenes!#REF!,"AAAAAD6r9ac=")</f>
        <v>#REF!</v>
      </c>
      <c r="FM6" t="e">
        <f>AND(Examenes!#REF!,"AAAAAD6r9ag=")</f>
        <v>#REF!</v>
      </c>
      <c r="FN6" t="e">
        <f>AND(Examenes!B30,"AAAAAD6r9ak=")</f>
        <v>#VALUE!</v>
      </c>
      <c r="FO6" t="e">
        <f>AND(Examenes!#REF!,"AAAAAD6r9ao=")</f>
        <v>#REF!</v>
      </c>
      <c r="FP6" t="e">
        <f>AND(Examenes!D30,"AAAAAD6r9as=")</f>
        <v>#VALUE!</v>
      </c>
      <c r="FQ6" t="e">
        <f>AND(Examenes!E30,"AAAAAD6r9aw=")</f>
        <v>#VALUE!</v>
      </c>
      <c r="FR6" t="e">
        <f>AND(Examenes!#REF!,"AAAAAD6r9a0=")</f>
        <v>#REF!</v>
      </c>
      <c r="FS6" t="e">
        <f>AND(Examenes!G30,"AAAAAD6r9a4=")</f>
        <v>#VALUE!</v>
      </c>
      <c r="FT6" t="e">
        <f>AND(Examenes!H30,"AAAAAD6r9a8=")</f>
        <v>#VALUE!</v>
      </c>
      <c r="FU6" t="e">
        <f>AND(Examenes!#REF!,"AAAAAD6r9bA=")</f>
        <v>#REF!</v>
      </c>
      <c r="FV6" t="e">
        <f>AND(Examenes!J30,"AAAAAD6r9bE=")</f>
        <v>#VALUE!</v>
      </c>
      <c r="FW6">
        <f>IF(Examenes!31:31,"AAAAAD6r9bI=",0)</f>
        <v>0</v>
      </c>
      <c r="FX6" t="e">
        <f>AND(Examenes!A31,"AAAAAD6r9bM=")</f>
        <v>#VALUE!</v>
      </c>
      <c r="FY6" t="e">
        <f>AND(Examenes!#REF!,"AAAAAD6r9bQ=")</f>
        <v>#REF!</v>
      </c>
      <c r="FZ6" t="e">
        <f>AND(Examenes!C31,"AAAAAD6r9bU=")</f>
        <v>#VALUE!</v>
      </c>
      <c r="GA6" t="e">
        <f>AND(Examenes!D31,"AAAAAD6r9bY=")</f>
        <v>#VALUE!</v>
      </c>
      <c r="GB6" t="e">
        <f>AND(Examenes!E31,"AAAAAD6r9bc=")</f>
        <v>#VALUE!</v>
      </c>
      <c r="GC6" t="e">
        <f>AND(Examenes!#REF!,"AAAAAD6r9bg=")</f>
        <v>#REF!</v>
      </c>
      <c r="GD6" t="e">
        <f>AND(Examenes!F31,"AAAAAD6r9bk=")</f>
        <v>#VALUE!</v>
      </c>
      <c r="GE6" t="e">
        <f>AND(Examenes!G31,"AAAAAD6r9bo=")</f>
        <v>#VALUE!</v>
      </c>
      <c r="GF6" t="e">
        <f>AND(Examenes!H31,"AAAAAD6r9bs=")</f>
        <v>#VALUE!</v>
      </c>
      <c r="GG6" t="e">
        <f>AND(Examenes!#REF!,"AAAAAD6r9bw=")</f>
        <v>#REF!</v>
      </c>
      <c r="GH6" t="e">
        <f>AND(Examenes!J31,"AAAAAD6r9b0=")</f>
        <v>#VALUE!</v>
      </c>
      <c r="GI6">
        <f>IF(Examenes!32:32,"AAAAAD6r9b4=",0)</f>
        <v>0</v>
      </c>
      <c r="GJ6" t="e">
        <f>AND(Examenes!A32,"AAAAAD6r9b8=")</f>
        <v>#VALUE!</v>
      </c>
      <c r="GK6" t="e">
        <f>AND(Examenes!#REF!,"AAAAAD6r9cA=")</f>
        <v>#REF!</v>
      </c>
      <c r="GL6" t="e">
        <f>AND(Examenes!C32,"AAAAAD6r9cE=")</f>
        <v>#VALUE!</v>
      </c>
      <c r="GM6" t="e">
        <f>AND(Examenes!D32,"AAAAAD6r9cI=")</f>
        <v>#VALUE!</v>
      </c>
      <c r="GN6" t="e">
        <f>AND(Examenes!E32,"AAAAAD6r9cM=")</f>
        <v>#VALUE!</v>
      </c>
      <c r="GO6" t="e">
        <f>AND(Examenes!#REF!,"AAAAAD6r9cQ=")</f>
        <v>#REF!</v>
      </c>
      <c r="GP6" t="e">
        <f>AND(Examenes!F32,"AAAAAD6r9cU=")</f>
        <v>#VALUE!</v>
      </c>
      <c r="GQ6" t="e">
        <f>AND(Examenes!G32,"AAAAAD6r9cY=")</f>
        <v>#VALUE!</v>
      </c>
      <c r="GR6" t="e">
        <f>AND(Examenes!H32,"AAAAAD6r9cc=")</f>
        <v>#VALUE!</v>
      </c>
      <c r="GS6" t="e">
        <f>AND(Examenes!#REF!,"AAAAAD6r9cg=")</f>
        <v>#REF!</v>
      </c>
      <c r="GT6" t="e">
        <f>AND(Examenes!J32,"AAAAAD6r9ck=")</f>
        <v>#VALUE!</v>
      </c>
      <c r="GU6">
        <f>IF(Examenes!33:33,"AAAAAD6r9co=",0)</f>
        <v>0</v>
      </c>
      <c r="GV6" t="e">
        <f>AND(Examenes!A33,"AAAAAD6r9cs=")</f>
        <v>#VALUE!</v>
      </c>
      <c r="GW6" t="e">
        <f>AND(Examenes!#REF!,"AAAAAD6r9cw=")</f>
        <v>#REF!</v>
      </c>
      <c r="GX6" t="e">
        <f>AND(Examenes!C33,"AAAAAD6r9c0=")</f>
        <v>#VALUE!</v>
      </c>
      <c r="GY6" t="e">
        <f>AND(Examenes!D33,"AAAAAD6r9c4=")</f>
        <v>#VALUE!</v>
      </c>
      <c r="GZ6" t="e">
        <f>AND(Examenes!E33,"AAAAAD6r9c8=")</f>
        <v>#VALUE!</v>
      </c>
      <c r="HA6" t="e">
        <f>AND(Examenes!#REF!,"AAAAAD6r9dA=")</f>
        <v>#REF!</v>
      </c>
      <c r="HB6" t="e">
        <f>AND(Examenes!F33,"AAAAAD6r9dE=")</f>
        <v>#VALUE!</v>
      </c>
      <c r="HC6" t="e">
        <f>AND(Examenes!G33,"AAAAAD6r9dI=")</f>
        <v>#VALUE!</v>
      </c>
      <c r="HD6" t="e">
        <f>AND(Examenes!H33,"AAAAAD6r9dM=")</f>
        <v>#VALUE!</v>
      </c>
      <c r="HE6" t="e">
        <f>AND(Examenes!#REF!,"AAAAAD6r9dQ=")</f>
        <v>#REF!</v>
      </c>
      <c r="HF6" t="e">
        <f>AND(Examenes!J33,"AAAAAD6r9dU=")</f>
        <v>#VALUE!</v>
      </c>
      <c r="HG6">
        <f>IF(Examenes!34:34,"AAAAAD6r9dY=",0)</f>
        <v>0</v>
      </c>
      <c r="HH6" t="e">
        <f>AND(Examenes!A34,"AAAAAD6r9dc=")</f>
        <v>#VALUE!</v>
      </c>
      <c r="HI6" t="e">
        <f>AND(Examenes!#REF!,"AAAAAD6r9dg=")</f>
        <v>#REF!</v>
      </c>
      <c r="HJ6" t="e">
        <f>AND(Examenes!C34,"AAAAAD6r9dk=")</f>
        <v>#VALUE!</v>
      </c>
      <c r="HK6" t="e">
        <f>AND(Examenes!D34,"AAAAAD6r9do=")</f>
        <v>#VALUE!</v>
      </c>
      <c r="HL6" t="e">
        <f>AND(Examenes!E34,"AAAAAD6r9ds=")</f>
        <v>#VALUE!</v>
      </c>
      <c r="HM6" t="e">
        <f>AND(Examenes!#REF!,"AAAAAD6r9dw=")</f>
        <v>#REF!</v>
      </c>
      <c r="HN6" t="e">
        <f>AND(Examenes!F34,"AAAAAD6r9d0=")</f>
        <v>#VALUE!</v>
      </c>
      <c r="HO6" t="e">
        <f>AND(Examenes!G34,"AAAAAD6r9d4=")</f>
        <v>#VALUE!</v>
      </c>
      <c r="HP6" t="e">
        <f>AND(Examenes!H34,"AAAAAD6r9d8=")</f>
        <v>#VALUE!</v>
      </c>
      <c r="HQ6" t="e">
        <f>AND(Examenes!#REF!,"AAAAAD6r9eA=")</f>
        <v>#REF!</v>
      </c>
      <c r="HR6" t="e">
        <f>AND(Examenes!J34,"AAAAAD6r9eE=")</f>
        <v>#VALUE!</v>
      </c>
      <c r="HS6">
        <f>IF(Examenes!35:35,"AAAAAD6r9eI=",0)</f>
        <v>0</v>
      </c>
      <c r="HT6" t="e">
        <f>AND(Examenes!A35,"AAAAAD6r9eM=")</f>
        <v>#VALUE!</v>
      </c>
      <c r="HU6" t="e">
        <f>AND(Examenes!#REF!,"AAAAAD6r9eQ=")</f>
        <v>#REF!</v>
      </c>
      <c r="HV6" t="e">
        <f>AND(Examenes!B35,"AAAAAD6r9eU=")</f>
        <v>#VALUE!</v>
      </c>
      <c r="HW6" t="e">
        <f>AND(Examenes!#REF!,"AAAAAD6r9eY=")</f>
        <v>#REF!</v>
      </c>
      <c r="HX6" t="e">
        <f>AND(Examenes!D35,"AAAAAD6r9ec=")</f>
        <v>#VALUE!</v>
      </c>
      <c r="HY6" t="e">
        <f>AND(Examenes!E35,"AAAAAD6r9eg=")</f>
        <v>#VALUE!</v>
      </c>
      <c r="HZ6" t="e">
        <f>AND(Examenes!#REF!,"AAAAAD6r9ek=")</f>
        <v>#REF!</v>
      </c>
      <c r="IA6" t="e">
        <f>AND(Examenes!G35,"AAAAAD6r9eo=")</f>
        <v>#VALUE!</v>
      </c>
      <c r="IB6" t="e">
        <f>AND(Examenes!H35,"AAAAAD6r9es=")</f>
        <v>#VALUE!</v>
      </c>
      <c r="IC6">
        <f>IF(Examenes!36:36,"AAAAAD6r9ew=",0)</f>
        <v>0</v>
      </c>
      <c r="ID6" t="e">
        <f>AND(Examenes!A36,"AAAAAD6r9e0=")</f>
        <v>#VALUE!</v>
      </c>
      <c r="IE6" t="e">
        <f>AND(Examenes!#REF!,"AAAAAD6r9e4=")</f>
        <v>#REF!</v>
      </c>
      <c r="IF6" t="e">
        <f>AND(Examenes!C36,"AAAAAD6r9e8=")</f>
        <v>#VALUE!</v>
      </c>
      <c r="IG6" t="e">
        <f>AND(Examenes!#REF!,"AAAAAD6r9fA=")</f>
        <v>#REF!</v>
      </c>
      <c r="IH6" t="e">
        <f>AND(Examenes!D36,"AAAAAD6r9fE=")</f>
        <v>#VALUE!</v>
      </c>
      <c r="II6" t="e">
        <f>AND(Examenes!E36,"AAAAAD6r9fI=")</f>
        <v>#VALUE!</v>
      </c>
      <c r="IJ6" t="e">
        <f>AND(Examenes!#REF!,"AAAAAD6r9fM=")</f>
        <v>#REF!</v>
      </c>
      <c r="IK6" t="e">
        <f>AND(Examenes!G36,"AAAAAD6r9fQ=")</f>
        <v>#VALUE!</v>
      </c>
      <c r="IL6" t="e">
        <f>AND(Examenes!H36,"AAAAAD6r9fU=")</f>
        <v>#VALUE!</v>
      </c>
      <c r="IM6">
        <f>IF(Examenes!37:37,"AAAAAD6r9fY=",0)</f>
        <v>0</v>
      </c>
      <c r="IN6" t="e">
        <f>AND(Examenes!A37,"AAAAAD6r9fc=")</f>
        <v>#VALUE!</v>
      </c>
      <c r="IO6" t="e">
        <f>AND(Examenes!#REF!,"AAAAAD6r9fg=")</f>
        <v>#REF!</v>
      </c>
      <c r="IP6" t="e">
        <f>AND(Examenes!C37,"AAAAAD6r9fk=")</f>
        <v>#VALUE!</v>
      </c>
      <c r="IQ6" t="e">
        <f>AND(Examenes!E37,"AAAAAD6r9fo=")</f>
        <v>#VALUE!</v>
      </c>
      <c r="IR6" t="e">
        <f>AND(Examenes!D37,"AAAAAD6r9fs=")</f>
        <v>#VALUE!</v>
      </c>
      <c r="IS6" t="e">
        <f>AND(Examenes!#REF!,"AAAAAD6r9fw=")</f>
        <v>#REF!</v>
      </c>
      <c r="IT6" t="e">
        <f>AND(Examenes!#REF!,"AAAAAD6r9f0=")</f>
        <v>#REF!</v>
      </c>
      <c r="IU6" t="e">
        <f>AND(Examenes!G37,"AAAAAD6r9f4=")</f>
        <v>#VALUE!</v>
      </c>
      <c r="IV6" t="e">
        <f>AND(Examenes!H37,"AAAAAD6r9f8=")</f>
        <v>#VALUE!</v>
      </c>
    </row>
    <row r="7" spans="1:256" x14ac:dyDescent="0.2">
      <c r="A7">
        <f>IF(Examenes!38:38,"AAAAAHLt3wA=",0)</f>
        <v>0</v>
      </c>
      <c r="B7" t="e">
        <f>AND(Examenes!A38,"AAAAAHLt3wE=")</f>
        <v>#VALUE!</v>
      </c>
      <c r="C7" t="e">
        <f>AND(Examenes!#REF!,"AAAAAHLt3wI=")</f>
        <v>#REF!</v>
      </c>
      <c r="D7" t="e">
        <f>AND(Examenes!C38,"AAAAAHLt3wM=")</f>
        <v>#VALUE!</v>
      </c>
      <c r="E7" t="e">
        <f>AND(Examenes!D38,"AAAAAHLt3wQ=")</f>
        <v>#VALUE!</v>
      </c>
      <c r="F7" t="e">
        <f>AND(Examenes!E38,"AAAAAHLt3wU=")</f>
        <v>#VALUE!</v>
      </c>
      <c r="G7" t="e">
        <f>AND(Examenes!#REF!,"AAAAAHLt3wY=")</f>
        <v>#REF!</v>
      </c>
      <c r="H7" t="e">
        <f>AND(Examenes!F38,"AAAAAHLt3wc=")</f>
        <v>#VALUE!</v>
      </c>
      <c r="I7" t="e">
        <f>AND(Examenes!G38,"AAAAAHLt3wg=")</f>
        <v>#VALUE!</v>
      </c>
      <c r="J7" t="e">
        <f>AND(Examenes!H38,"AAAAAHLt3wk=")</f>
        <v>#VALUE!</v>
      </c>
      <c r="K7">
        <f>IF(Examenes!39:39,"AAAAAHLt3wo=",0)</f>
        <v>0</v>
      </c>
      <c r="L7" t="e">
        <f>AND(Examenes!A39,"AAAAAHLt3ws=")</f>
        <v>#VALUE!</v>
      </c>
      <c r="M7" t="e">
        <f>AND(Examenes!#REF!,"AAAAAHLt3ww=")</f>
        <v>#REF!</v>
      </c>
      <c r="N7" t="e">
        <f>AND(Examenes!C39,"AAAAAHLt3w0=")</f>
        <v>#VALUE!</v>
      </c>
      <c r="O7" t="e">
        <f>AND(Examenes!D39,"AAAAAHLt3w4=")</f>
        <v>#VALUE!</v>
      </c>
      <c r="P7" t="e">
        <f>AND(Examenes!E39,"AAAAAHLt3w8=")</f>
        <v>#VALUE!</v>
      </c>
      <c r="Q7" t="e">
        <f>AND(Examenes!#REF!,"AAAAAHLt3xA=")</f>
        <v>#REF!</v>
      </c>
      <c r="R7" t="e">
        <f>AND(Examenes!F39,"AAAAAHLt3xE=")</f>
        <v>#VALUE!</v>
      </c>
      <c r="S7" t="e">
        <f>AND(Examenes!G39,"AAAAAHLt3xI=")</f>
        <v>#VALUE!</v>
      </c>
      <c r="T7" t="e">
        <f>AND(Examenes!H39,"AAAAAHLt3xM=")</f>
        <v>#VALUE!</v>
      </c>
      <c r="U7">
        <f>IF(Examenes!40:40,"AAAAAHLt3xQ=",0)</f>
        <v>0</v>
      </c>
      <c r="V7" t="e">
        <f>AND(Examenes!A40,"AAAAAHLt3xU=")</f>
        <v>#VALUE!</v>
      </c>
      <c r="W7" t="e">
        <f>AND(Examenes!#REF!,"AAAAAHLt3xY=")</f>
        <v>#REF!</v>
      </c>
      <c r="X7" t="e">
        <f>AND(Examenes!C40,"AAAAAHLt3xc=")</f>
        <v>#VALUE!</v>
      </c>
      <c r="Y7" t="e">
        <f>AND(Examenes!D40,"AAAAAHLt3xg=")</f>
        <v>#VALUE!</v>
      </c>
      <c r="Z7" t="e">
        <f>AND(Examenes!E40,"AAAAAHLt3xk=")</f>
        <v>#VALUE!</v>
      </c>
      <c r="AA7" t="e">
        <f>AND(Examenes!#REF!,"AAAAAHLt3xo=")</f>
        <v>#REF!</v>
      </c>
      <c r="AB7" t="e">
        <f>AND(Examenes!F40,"AAAAAHLt3xs=")</f>
        <v>#VALUE!</v>
      </c>
      <c r="AC7" t="e">
        <f>AND(Examenes!G40,"AAAAAHLt3xw=")</f>
        <v>#VALUE!</v>
      </c>
      <c r="AD7" t="e">
        <f>AND(Examenes!H40,"AAAAAHLt3x0=")</f>
        <v>#VALUE!</v>
      </c>
      <c r="AE7">
        <f>IF(Examenes!41:41,"AAAAAHLt3x4=",0)</f>
        <v>0</v>
      </c>
      <c r="AF7" t="e">
        <f>AND(Examenes!A41,"AAAAAHLt3x8=")</f>
        <v>#VALUE!</v>
      </c>
      <c r="AG7" t="e">
        <f>AND(Examenes!#REF!,"AAAAAHLt3yA=")</f>
        <v>#REF!</v>
      </c>
      <c r="AH7" t="e">
        <f>AND(Examenes!C41,"AAAAAHLt3yE=")</f>
        <v>#VALUE!</v>
      </c>
      <c r="AI7" t="e">
        <f>AND(Examenes!D41,"AAAAAHLt3yI=")</f>
        <v>#VALUE!</v>
      </c>
      <c r="AJ7" t="e">
        <f>AND(Examenes!E41,"AAAAAHLt3yM=")</f>
        <v>#VALUE!</v>
      </c>
      <c r="AK7" t="e">
        <f>AND(Examenes!#REF!,"AAAAAHLt3yQ=")</f>
        <v>#REF!</v>
      </c>
      <c r="AL7" t="e">
        <f>AND(Examenes!F41,"AAAAAHLt3yU=")</f>
        <v>#VALUE!</v>
      </c>
      <c r="AM7" t="e">
        <f>AND(Examenes!G41,"AAAAAHLt3yY=")</f>
        <v>#VALUE!</v>
      </c>
      <c r="AN7" t="e">
        <f>AND(Examenes!H41,"AAAAAHLt3yc=")</f>
        <v>#VALUE!</v>
      </c>
      <c r="AO7">
        <f>IF(Examenes!42:42,"AAAAAHLt3yg=",0)</f>
        <v>0</v>
      </c>
      <c r="AP7" t="e">
        <f>AND(Examenes!A42,"AAAAAHLt3yk=")</f>
        <v>#VALUE!</v>
      </c>
      <c r="AQ7" t="e">
        <f>AND(Examenes!#REF!,"AAAAAHLt3yo=")</f>
        <v>#REF!</v>
      </c>
      <c r="AR7" t="e">
        <f>AND(Examenes!B42,"AAAAAHLt3ys=")</f>
        <v>#VALUE!</v>
      </c>
      <c r="AS7" t="e">
        <f>AND(Examenes!#REF!,"AAAAAHLt3yw=")</f>
        <v>#REF!</v>
      </c>
      <c r="AT7" t="e">
        <f>AND(Examenes!D42,"AAAAAHLt3y0=")</f>
        <v>#VALUE!</v>
      </c>
      <c r="AU7" t="e">
        <f>AND(Examenes!E42,"AAAAAHLt3y4=")</f>
        <v>#VALUE!</v>
      </c>
      <c r="AV7" t="e">
        <f>AND(Examenes!#REF!,"AAAAAHLt3y8=")</f>
        <v>#REF!</v>
      </c>
      <c r="AW7" t="e">
        <f>AND(Examenes!G42,"AAAAAHLt3zA=")</f>
        <v>#VALUE!</v>
      </c>
      <c r="AX7" t="e">
        <f>AND(Examenes!H42,"AAAAAHLt3zE=")</f>
        <v>#VALUE!</v>
      </c>
      <c r="AY7" t="e">
        <f>IF(Examenes!#REF!,"AAAAAHLt3zI=",0)</f>
        <v>#REF!</v>
      </c>
      <c r="AZ7" t="e">
        <f>AND(Examenes!#REF!,"AAAAAHLt3zM=")</f>
        <v>#REF!</v>
      </c>
      <c r="BA7" t="e">
        <f>AND(Examenes!#REF!,"AAAAAHLt3zQ=")</f>
        <v>#REF!</v>
      </c>
      <c r="BB7" t="e">
        <f>AND(Examenes!#REF!,"AAAAAHLt3zU=")</f>
        <v>#REF!</v>
      </c>
      <c r="BC7" t="e">
        <f>AND(Examenes!#REF!,"AAAAAHLt3zY=")</f>
        <v>#REF!</v>
      </c>
      <c r="BD7" t="e">
        <f>AND(Examenes!#REF!,"AAAAAHLt3zc=")</f>
        <v>#REF!</v>
      </c>
      <c r="BE7" t="e">
        <f>AND(Examenes!#REF!,"AAAAAHLt3zg=")</f>
        <v>#REF!</v>
      </c>
      <c r="BF7" t="e">
        <f>AND(Examenes!#REF!,"AAAAAHLt3zk=")</f>
        <v>#REF!</v>
      </c>
      <c r="BG7" t="e">
        <f>AND(Examenes!#REF!,"AAAAAHLt3zo=")</f>
        <v>#REF!</v>
      </c>
      <c r="BH7" t="e">
        <f>AND(Examenes!#REF!,"AAAAAHLt3zs=")</f>
        <v>#REF!</v>
      </c>
      <c r="BI7" t="e">
        <f>IF(Examenes!#REF!,"AAAAAHLt3zw=",0)</f>
        <v>#REF!</v>
      </c>
      <c r="BJ7" t="e">
        <f>AND(Examenes!#REF!,"AAAAAHLt3z0=")</f>
        <v>#REF!</v>
      </c>
      <c r="BK7" t="e">
        <f>AND(Examenes!#REF!,"AAAAAHLt3z4=")</f>
        <v>#REF!</v>
      </c>
      <c r="BL7" t="e">
        <f>AND(Examenes!#REF!,"AAAAAHLt3z8=")</f>
        <v>#REF!</v>
      </c>
      <c r="BM7" t="e">
        <f>AND(Examenes!#REF!,"AAAAAHLt30A=")</f>
        <v>#REF!</v>
      </c>
      <c r="BN7" t="e">
        <f>AND(Examenes!#REF!,"AAAAAHLt30E=")</f>
        <v>#REF!</v>
      </c>
      <c r="BO7" t="e">
        <f>AND(Examenes!#REF!,"AAAAAHLt30I=")</f>
        <v>#REF!</v>
      </c>
      <c r="BP7" t="e">
        <f>AND(Examenes!#REF!,"AAAAAHLt30M=")</f>
        <v>#REF!</v>
      </c>
      <c r="BQ7" t="e">
        <f>AND(Examenes!#REF!,"AAAAAHLt30Q=")</f>
        <v>#REF!</v>
      </c>
      <c r="BR7" t="e">
        <f>AND(Examenes!#REF!,"AAAAAHLt30U=")</f>
        <v>#REF!</v>
      </c>
      <c r="BS7" t="e">
        <f>IF(Examenes!#REF!,"AAAAAHLt30Y=",0)</f>
        <v>#REF!</v>
      </c>
      <c r="BT7" t="e">
        <f>AND(Examenes!#REF!,"AAAAAHLt30c=")</f>
        <v>#REF!</v>
      </c>
      <c r="BU7" t="e">
        <f>AND(Examenes!#REF!,"AAAAAHLt30g=")</f>
        <v>#REF!</v>
      </c>
      <c r="BV7" t="e">
        <f>AND(Examenes!#REF!,"AAAAAHLt30k=")</f>
        <v>#REF!</v>
      </c>
      <c r="BW7" t="e">
        <f>AND(Examenes!#REF!,"AAAAAHLt30o=")</f>
        <v>#REF!</v>
      </c>
      <c r="BX7" t="e">
        <f>AND(Examenes!#REF!,"AAAAAHLt30s=")</f>
        <v>#REF!</v>
      </c>
      <c r="BY7" t="e">
        <f>AND(Examenes!#REF!,"AAAAAHLt30w=")</f>
        <v>#REF!</v>
      </c>
      <c r="BZ7" t="e">
        <f>AND(Examenes!#REF!,"AAAAAHLt300=")</f>
        <v>#REF!</v>
      </c>
      <c r="CA7" t="e">
        <f>AND(Examenes!#REF!,"AAAAAHLt304=")</f>
        <v>#REF!</v>
      </c>
      <c r="CB7" t="e">
        <f>AND(Examenes!#REF!,"AAAAAHLt308=")</f>
        <v>#REF!</v>
      </c>
      <c r="CC7" t="e">
        <f>IF(Examenes!#REF!,"AAAAAHLt31A=",0)</f>
        <v>#REF!</v>
      </c>
      <c r="CD7" t="e">
        <f>AND(Examenes!#REF!,"AAAAAHLt31E=")</f>
        <v>#REF!</v>
      </c>
      <c r="CE7" t="e">
        <f>AND(Examenes!#REF!,"AAAAAHLt31I=")</f>
        <v>#REF!</v>
      </c>
      <c r="CF7" t="e">
        <f>AND(Examenes!#REF!,"AAAAAHLt31M=")</f>
        <v>#REF!</v>
      </c>
      <c r="CG7" t="e">
        <f>AND(Examenes!#REF!,"AAAAAHLt31Q=")</f>
        <v>#REF!</v>
      </c>
      <c r="CH7" t="e">
        <f>AND(Examenes!#REF!,"AAAAAHLt31U=")</f>
        <v>#REF!</v>
      </c>
      <c r="CI7" t="e">
        <f>AND(Examenes!#REF!,"AAAAAHLt31Y=")</f>
        <v>#REF!</v>
      </c>
      <c r="CJ7" t="e">
        <f>AND(Examenes!#REF!,"AAAAAHLt31c=")</f>
        <v>#REF!</v>
      </c>
      <c r="CK7" t="e">
        <f>AND(Examenes!#REF!,"AAAAAHLt31g=")</f>
        <v>#REF!</v>
      </c>
      <c r="CL7" t="e">
        <f>AND(Examenes!#REF!,"AAAAAHLt31k=")</f>
        <v>#REF!</v>
      </c>
      <c r="CM7" t="e">
        <f>IF(Examenes!#REF!,"AAAAAHLt31o=",0)</f>
        <v>#REF!</v>
      </c>
      <c r="CN7" t="e">
        <f>AND(Examenes!#REF!,"AAAAAHLt31s=")</f>
        <v>#REF!</v>
      </c>
      <c r="CO7" t="e">
        <f>AND(Examenes!#REF!,"AAAAAHLt31w=")</f>
        <v>#REF!</v>
      </c>
      <c r="CP7" t="e">
        <f>AND(Examenes!#REF!,"AAAAAHLt310=")</f>
        <v>#REF!</v>
      </c>
      <c r="CQ7" t="e">
        <f>AND(Examenes!#REF!,"AAAAAHLt314=")</f>
        <v>#REF!</v>
      </c>
      <c r="CR7" t="e">
        <f>AND(Examenes!#REF!,"AAAAAHLt318=")</f>
        <v>#REF!</v>
      </c>
      <c r="CS7" t="e">
        <f>AND(Examenes!#REF!,"AAAAAHLt32A=")</f>
        <v>#REF!</v>
      </c>
      <c r="CT7" t="e">
        <f>AND(Examenes!#REF!,"AAAAAHLt32E=")</f>
        <v>#REF!</v>
      </c>
      <c r="CU7" t="e">
        <f>AND(Examenes!#REF!,"AAAAAHLt32I=")</f>
        <v>#REF!</v>
      </c>
      <c r="CV7" t="e">
        <f>AND(Examenes!#REF!,"AAAAAHLt32M=")</f>
        <v>#REF!</v>
      </c>
      <c r="CW7" t="e">
        <f>IF(Examenes!#REF!,"AAAAAHLt32Q=",0)</f>
        <v>#REF!</v>
      </c>
      <c r="CX7" t="e">
        <f>AND(Examenes!#REF!,"AAAAAHLt32U=")</f>
        <v>#REF!</v>
      </c>
      <c r="CY7" t="e">
        <f>AND(Examenes!#REF!,"AAAAAHLt32Y=")</f>
        <v>#REF!</v>
      </c>
      <c r="CZ7" t="e">
        <f>AND(Examenes!#REF!,"AAAAAHLt32c=")</f>
        <v>#REF!</v>
      </c>
      <c r="DA7" t="e">
        <f>AND(Examenes!#REF!,"AAAAAHLt32g=")</f>
        <v>#REF!</v>
      </c>
      <c r="DB7" t="e">
        <f>AND(Examenes!#REF!,"AAAAAHLt32k=")</f>
        <v>#REF!</v>
      </c>
      <c r="DC7" t="e">
        <f>AND(Examenes!#REF!,"AAAAAHLt32o=")</f>
        <v>#REF!</v>
      </c>
      <c r="DD7" t="e">
        <f>AND(Examenes!#REF!,"AAAAAHLt32s=")</f>
        <v>#REF!</v>
      </c>
      <c r="DE7" t="e">
        <f>AND(Examenes!#REF!,"AAAAAHLt32w=")</f>
        <v>#REF!</v>
      </c>
      <c r="DF7" t="e">
        <f>AND(Examenes!#REF!,"AAAAAHLt320=")</f>
        <v>#REF!</v>
      </c>
      <c r="DG7" t="e">
        <f>IF(Examenes!A:A,"AAAAAHLt324=",0)</f>
        <v>#VALUE!</v>
      </c>
      <c r="DH7" t="e">
        <f>IF(Examenes!#REF!,"AAAAAHLt328=",0)</f>
        <v>#REF!</v>
      </c>
      <c r="DI7" t="str">
        <f>IF(Examenes!B:B,"AAAAAHLt33A=",0)</f>
        <v>AAAAAHLt33A=</v>
      </c>
      <c r="DJ7" t="e">
        <f>IF(Examenes!#REF!,"AAAAAHLt33E=",0)</f>
        <v>#REF!</v>
      </c>
      <c r="DK7" t="str">
        <f>IF(Examenes!D:D,"AAAAAHLt33I=",0)</f>
        <v>AAAAAHLt33I=</v>
      </c>
      <c r="DL7" t="str">
        <f>IF(Examenes!E:E,"AAAAAHLt33M=",0)</f>
        <v>AAAAAHLt33M=</v>
      </c>
      <c r="DM7" t="e">
        <f>IF(Examenes!#REF!,"AAAAAHLt33Q=",0)</f>
        <v>#REF!</v>
      </c>
      <c r="DN7" t="str">
        <f>IF(Examenes!G:G,"AAAAAHLt33U=",0)</f>
        <v>AAAAAHLt33U=</v>
      </c>
      <c r="DO7" t="str">
        <f>IF(Examenes!H:H,"AAAAAHLt33Y=",0)</f>
        <v>AAAAAHLt33Y=</v>
      </c>
      <c r="DP7" t="e">
        <f>IF(Examenes!#REF!,"AAAAAHLt33c=",0)</f>
        <v>#REF!</v>
      </c>
      <c r="DQ7" t="str">
        <f>IF(Examenes!J:J,"AAAAAHLt33g=",0)</f>
        <v>AAAAAHLt33g=</v>
      </c>
      <c r="DR7" t="e">
        <f>IF(#REF!,"AAAAAHLt33k=",0)</f>
        <v>#REF!</v>
      </c>
      <c r="DS7" t="e">
        <f>AND(#REF!,"AAAAAHLt33o=")</f>
        <v>#REF!</v>
      </c>
      <c r="DT7" t="e">
        <f>AND(#REF!,"AAAAAHLt33s=")</f>
        <v>#REF!</v>
      </c>
      <c r="DU7" t="e">
        <f>AND(#REF!,"AAAAAHLt33w=")</f>
        <v>#REF!</v>
      </c>
      <c r="DV7" t="e">
        <f>AND(#REF!,"AAAAAHLt330=")</f>
        <v>#REF!</v>
      </c>
      <c r="DW7" t="e">
        <f>AND(#REF!,"AAAAAHLt334=")</f>
        <v>#REF!</v>
      </c>
      <c r="DX7" t="e">
        <f>AND(#REF!,"AAAAAHLt338=")</f>
        <v>#REF!</v>
      </c>
      <c r="DY7" t="e">
        <f>AND(#REF!,"AAAAAHLt34A=")</f>
        <v>#REF!</v>
      </c>
      <c r="DZ7" t="e">
        <f>AND(#REF!,"AAAAAHLt34E=")</f>
        <v>#REF!</v>
      </c>
      <c r="EA7" t="e">
        <f>AND(#REF!,"AAAAAHLt34I=")</f>
        <v>#REF!</v>
      </c>
      <c r="EB7" t="e">
        <f>AND(#REF!,"AAAAAHLt34M=")</f>
        <v>#REF!</v>
      </c>
      <c r="EC7" t="e">
        <f>AND(#REF!,"AAAAAHLt34Q=")</f>
        <v>#REF!</v>
      </c>
      <c r="ED7" t="e">
        <f>AND(#REF!,"AAAAAHLt34U=")</f>
        <v>#REF!</v>
      </c>
      <c r="EE7" t="e">
        <f>AND(#REF!,"AAAAAHLt34Y=")</f>
        <v>#REF!</v>
      </c>
      <c r="EF7" t="e">
        <f>AND(#REF!,"AAAAAHLt34c=")</f>
        <v>#REF!</v>
      </c>
      <c r="EG7" t="e">
        <f>AND(#REF!,"AAAAAHLt34g=")</f>
        <v>#REF!</v>
      </c>
      <c r="EH7" t="e">
        <f>AND(#REF!,"AAAAAHLt34k=")</f>
        <v>#REF!</v>
      </c>
      <c r="EI7" t="e">
        <f>AND(#REF!,"AAAAAHLt34o=")</f>
        <v>#REF!</v>
      </c>
      <c r="EJ7" t="e">
        <f>AND(#REF!,"AAAAAHLt34s=")</f>
        <v>#REF!</v>
      </c>
      <c r="EK7" t="e">
        <f>AND(#REF!,"AAAAAHLt34w=")</f>
        <v>#REF!</v>
      </c>
      <c r="EL7" t="e">
        <f>AND(#REF!,"AAAAAHLt340=")</f>
        <v>#REF!</v>
      </c>
      <c r="EM7" t="e">
        <f>AND(#REF!,"AAAAAHLt344=")</f>
        <v>#REF!</v>
      </c>
      <c r="EN7" t="e">
        <f>AND(#REF!,"AAAAAHLt348=")</f>
        <v>#REF!</v>
      </c>
      <c r="EO7" t="e">
        <f>AND(#REF!,"AAAAAHLt35A=")</f>
        <v>#REF!</v>
      </c>
      <c r="EP7" t="e">
        <f>AND(#REF!,"AAAAAHLt35E=")</f>
        <v>#REF!</v>
      </c>
      <c r="EQ7" t="e">
        <f>IF(#REF!,"AAAAAHLt35I=",0)</f>
        <v>#REF!</v>
      </c>
      <c r="ER7" t="e">
        <f>AND(#REF!,"AAAAAHLt35M=")</f>
        <v>#REF!</v>
      </c>
      <c r="ES7" t="e">
        <f>AND(#REF!,"AAAAAHLt35Q=")</f>
        <v>#REF!</v>
      </c>
      <c r="ET7" t="e">
        <f>AND(#REF!,"AAAAAHLt35U=")</f>
        <v>#REF!</v>
      </c>
      <c r="EU7" t="e">
        <f>AND(#REF!,"AAAAAHLt35Y=")</f>
        <v>#REF!</v>
      </c>
      <c r="EV7" t="e">
        <f>AND(#REF!,"AAAAAHLt35c=")</f>
        <v>#REF!</v>
      </c>
      <c r="EW7" t="e">
        <f>AND(#REF!,"AAAAAHLt35g=")</f>
        <v>#REF!</v>
      </c>
      <c r="EX7" t="e">
        <f>AND(#REF!,"AAAAAHLt35k=")</f>
        <v>#REF!</v>
      </c>
      <c r="EY7" t="e">
        <f>AND(#REF!,"AAAAAHLt35o=")</f>
        <v>#REF!</v>
      </c>
      <c r="EZ7" t="e">
        <f>AND(#REF!,"AAAAAHLt35s=")</f>
        <v>#REF!</v>
      </c>
      <c r="FA7" t="e">
        <f>AND(#REF!,"AAAAAHLt35w=")</f>
        <v>#REF!</v>
      </c>
      <c r="FB7" t="e">
        <f>AND(#REF!,"AAAAAHLt350=")</f>
        <v>#REF!</v>
      </c>
      <c r="FC7" t="e">
        <f>AND(#REF!,"AAAAAHLt354=")</f>
        <v>#REF!</v>
      </c>
      <c r="FD7" t="e">
        <f>AND(#REF!,"AAAAAHLt358=")</f>
        <v>#REF!</v>
      </c>
      <c r="FE7" t="e">
        <f>AND(#REF!,"AAAAAHLt36A=")</f>
        <v>#REF!</v>
      </c>
      <c r="FF7" t="e">
        <f>AND(#REF!,"AAAAAHLt36E=")</f>
        <v>#REF!</v>
      </c>
      <c r="FG7" t="e">
        <f>AND(#REF!,"AAAAAHLt36I=")</f>
        <v>#REF!</v>
      </c>
      <c r="FH7" t="e">
        <f>AND(#REF!,"AAAAAHLt36M=")</f>
        <v>#REF!</v>
      </c>
      <c r="FI7" t="e">
        <f>AND(#REF!,"AAAAAHLt36Q=")</f>
        <v>#REF!</v>
      </c>
      <c r="FJ7" t="e">
        <f>AND(#REF!,"AAAAAHLt36U=")</f>
        <v>#REF!</v>
      </c>
      <c r="FK7" t="e">
        <f>AND(#REF!,"AAAAAHLt36Y=")</f>
        <v>#REF!</v>
      </c>
      <c r="FL7" t="e">
        <f>AND(#REF!,"AAAAAHLt36c=")</f>
        <v>#REF!</v>
      </c>
      <c r="FM7" t="e">
        <f>AND(#REF!,"AAAAAHLt36g=")</f>
        <v>#REF!</v>
      </c>
      <c r="FN7" t="e">
        <f>AND(#REF!,"AAAAAHLt36k=")</f>
        <v>#REF!</v>
      </c>
      <c r="FO7" t="e">
        <f>AND(#REF!,"AAAAAHLt36o=")</f>
        <v>#REF!</v>
      </c>
      <c r="FP7" t="e">
        <f>IF(#REF!,"AAAAAHLt36s=",0)</f>
        <v>#REF!</v>
      </c>
      <c r="FQ7" t="e">
        <f>AND(#REF!,"AAAAAHLt36w=")</f>
        <v>#REF!</v>
      </c>
      <c r="FR7" t="e">
        <f>AND(#REF!,"AAAAAHLt360=")</f>
        <v>#REF!</v>
      </c>
      <c r="FS7" t="e">
        <f>AND(#REF!,"AAAAAHLt364=")</f>
        <v>#REF!</v>
      </c>
      <c r="FT7" t="e">
        <f>AND(#REF!,"AAAAAHLt368=")</f>
        <v>#REF!</v>
      </c>
      <c r="FU7" t="e">
        <f>AND(#REF!,"AAAAAHLt37A=")</f>
        <v>#REF!</v>
      </c>
      <c r="FV7" t="e">
        <f>AND(#REF!,"AAAAAHLt37E=")</f>
        <v>#REF!</v>
      </c>
      <c r="FW7" t="e">
        <f>AND(#REF!,"AAAAAHLt37I=")</f>
        <v>#REF!</v>
      </c>
      <c r="FX7" t="e">
        <f>AND(#REF!,"AAAAAHLt37M=")</f>
        <v>#REF!</v>
      </c>
      <c r="FY7" t="e">
        <f>AND(#REF!,"AAAAAHLt37Q=")</f>
        <v>#REF!</v>
      </c>
      <c r="FZ7" t="e">
        <f>AND(#REF!,"AAAAAHLt37U=")</f>
        <v>#REF!</v>
      </c>
      <c r="GA7" t="e">
        <f>AND(#REF!,"AAAAAHLt37Y=")</f>
        <v>#REF!</v>
      </c>
      <c r="GB7" t="e">
        <f>AND(#REF!,"AAAAAHLt37c=")</f>
        <v>#REF!</v>
      </c>
      <c r="GC7" t="e">
        <f>AND(#REF!,"AAAAAHLt37g=")</f>
        <v>#REF!</v>
      </c>
      <c r="GD7" t="e">
        <f>AND(#REF!,"AAAAAHLt37k=")</f>
        <v>#REF!</v>
      </c>
      <c r="GE7" t="e">
        <f>AND(#REF!,"AAAAAHLt37o=")</f>
        <v>#REF!</v>
      </c>
      <c r="GF7" t="e">
        <f>AND(#REF!,"AAAAAHLt37s=")</f>
        <v>#REF!</v>
      </c>
      <c r="GG7" t="e">
        <f>AND(#REF!,"AAAAAHLt37w=")</f>
        <v>#REF!</v>
      </c>
      <c r="GH7" t="e">
        <f>AND(#REF!,"AAAAAHLt370=")</f>
        <v>#REF!</v>
      </c>
      <c r="GI7" t="e">
        <f>AND(#REF!,"AAAAAHLt374=")</f>
        <v>#REF!</v>
      </c>
      <c r="GJ7" t="e">
        <f>AND(#REF!,"AAAAAHLt378=")</f>
        <v>#REF!</v>
      </c>
      <c r="GK7" t="e">
        <f>AND(#REF!,"AAAAAHLt38A=")</f>
        <v>#REF!</v>
      </c>
      <c r="GL7" t="e">
        <f>AND(#REF!,"AAAAAHLt38E=")</f>
        <v>#REF!</v>
      </c>
      <c r="GM7" t="e">
        <f>AND(#REF!,"AAAAAHLt38I=")</f>
        <v>#REF!</v>
      </c>
      <c r="GN7" t="e">
        <f>AND(#REF!,"AAAAAHLt38M=")</f>
        <v>#REF!</v>
      </c>
      <c r="GO7" t="e">
        <f>IF(#REF!,"AAAAAHLt38Q=",0)</f>
        <v>#REF!</v>
      </c>
      <c r="GP7" t="e">
        <f>AND(#REF!,"AAAAAHLt38U=")</f>
        <v>#REF!</v>
      </c>
      <c r="GQ7" t="e">
        <f>AND(#REF!,"AAAAAHLt38Y=")</f>
        <v>#REF!</v>
      </c>
      <c r="GR7" t="e">
        <f>AND(#REF!,"AAAAAHLt38c=")</f>
        <v>#REF!</v>
      </c>
      <c r="GS7" t="e">
        <f>AND(#REF!,"AAAAAHLt38g=")</f>
        <v>#REF!</v>
      </c>
      <c r="GT7" t="e">
        <f>AND(#REF!,"AAAAAHLt38k=")</f>
        <v>#REF!</v>
      </c>
      <c r="GU7" t="e">
        <f>AND(#REF!,"AAAAAHLt38o=")</f>
        <v>#REF!</v>
      </c>
      <c r="GV7" t="e">
        <f>AND(#REF!,"AAAAAHLt38s=")</f>
        <v>#REF!</v>
      </c>
      <c r="GW7" t="e">
        <f>AND(#REF!,"AAAAAHLt38w=")</f>
        <v>#REF!</v>
      </c>
      <c r="GX7" t="e">
        <f>AND(#REF!,"AAAAAHLt380=")</f>
        <v>#REF!</v>
      </c>
      <c r="GY7" t="e">
        <f>AND(#REF!,"AAAAAHLt384=")</f>
        <v>#REF!</v>
      </c>
      <c r="GZ7" t="e">
        <f>AND(#REF!,"AAAAAHLt388=")</f>
        <v>#REF!</v>
      </c>
      <c r="HA7" t="e">
        <f>AND(#REF!,"AAAAAHLt39A=")</f>
        <v>#REF!</v>
      </c>
      <c r="HB7" t="e">
        <f>AND(#REF!,"AAAAAHLt39E=")</f>
        <v>#REF!</v>
      </c>
      <c r="HC7" t="e">
        <f>AND(#REF!,"AAAAAHLt39I=")</f>
        <v>#REF!</v>
      </c>
      <c r="HD7" t="e">
        <f>AND(#REF!,"AAAAAHLt39M=")</f>
        <v>#REF!</v>
      </c>
      <c r="HE7" t="e">
        <f>AND(#REF!,"AAAAAHLt39Q=")</f>
        <v>#REF!</v>
      </c>
      <c r="HF7" t="e">
        <f>AND(#REF!,"AAAAAHLt39U=")</f>
        <v>#REF!</v>
      </c>
      <c r="HG7" t="e">
        <f>AND(#REF!,"AAAAAHLt39Y=")</f>
        <v>#REF!</v>
      </c>
      <c r="HH7" t="e">
        <f>AND(#REF!,"AAAAAHLt39c=")</f>
        <v>#REF!</v>
      </c>
      <c r="HI7" t="e">
        <f>AND(#REF!,"AAAAAHLt39g=")</f>
        <v>#REF!</v>
      </c>
      <c r="HJ7" t="e">
        <f>AND(#REF!,"AAAAAHLt39k=")</f>
        <v>#REF!</v>
      </c>
      <c r="HK7" t="e">
        <f>AND(#REF!,"AAAAAHLt39o=")</f>
        <v>#REF!</v>
      </c>
      <c r="HL7" t="e">
        <f>AND(#REF!,"AAAAAHLt39s=")</f>
        <v>#REF!</v>
      </c>
      <c r="HM7" t="e">
        <f>AND(#REF!,"AAAAAHLt39w=")</f>
        <v>#REF!</v>
      </c>
      <c r="HN7" t="e">
        <f>IF(#REF!,"AAAAAHLt390=",0)</f>
        <v>#REF!</v>
      </c>
      <c r="HO7" t="e">
        <f>AND(#REF!,"AAAAAHLt394=")</f>
        <v>#REF!</v>
      </c>
      <c r="HP7" t="e">
        <f>AND(#REF!,"AAAAAHLt398=")</f>
        <v>#REF!</v>
      </c>
      <c r="HQ7" t="e">
        <f>AND(#REF!,"AAAAAHLt3+A=")</f>
        <v>#REF!</v>
      </c>
      <c r="HR7" t="e">
        <f>AND(#REF!,"AAAAAHLt3+E=")</f>
        <v>#REF!</v>
      </c>
      <c r="HS7" t="e">
        <f>AND(#REF!,"AAAAAHLt3+I=")</f>
        <v>#REF!</v>
      </c>
      <c r="HT7" t="e">
        <f>AND(#REF!,"AAAAAHLt3+M=")</f>
        <v>#REF!</v>
      </c>
      <c r="HU7" t="e">
        <f>AND(#REF!,"AAAAAHLt3+Q=")</f>
        <v>#REF!</v>
      </c>
      <c r="HV7" t="e">
        <f>AND(#REF!,"AAAAAHLt3+U=")</f>
        <v>#REF!</v>
      </c>
      <c r="HW7" t="e">
        <f>AND(#REF!,"AAAAAHLt3+Y=")</f>
        <v>#REF!</v>
      </c>
      <c r="HX7" t="e">
        <f>AND(#REF!,"AAAAAHLt3+c=")</f>
        <v>#REF!</v>
      </c>
      <c r="HY7" t="e">
        <f>AND(#REF!,"AAAAAHLt3+g=")</f>
        <v>#REF!</v>
      </c>
      <c r="HZ7" t="e">
        <f>AND(#REF!,"AAAAAHLt3+k=")</f>
        <v>#REF!</v>
      </c>
      <c r="IA7" t="e">
        <f>AND(#REF!,"AAAAAHLt3+o=")</f>
        <v>#REF!</v>
      </c>
      <c r="IB7" t="e">
        <f>AND(#REF!,"AAAAAHLt3+s=")</f>
        <v>#REF!</v>
      </c>
      <c r="IC7" t="e">
        <f>AND(#REF!,"AAAAAHLt3+w=")</f>
        <v>#REF!</v>
      </c>
      <c r="ID7" t="e">
        <f>AND(#REF!,"AAAAAHLt3+0=")</f>
        <v>#REF!</v>
      </c>
      <c r="IE7" t="e">
        <f>AND(#REF!,"AAAAAHLt3+4=")</f>
        <v>#REF!</v>
      </c>
      <c r="IF7" t="e">
        <f>AND(#REF!,"AAAAAHLt3+8=")</f>
        <v>#REF!</v>
      </c>
      <c r="IG7" t="e">
        <f>AND(#REF!,"AAAAAHLt3/A=")</f>
        <v>#REF!</v>
      </c>
      <c r="IH7" t="e">
        <f>AND(#REF!,"AAAAAHLt3/E=")</f>
        <v>#REF!</v>
      </c>
      <c r="II7" t="e">
        <f>AND(#REF!,"AAAAAHLt3/I=")</f>
        <v>#REF!</v>
      </c>
      <c r="IJ7" t="e">
        <f>AND(#REF!,"AAAAAHLt3/M=")</f>
        <v>#REF!</v>
      </c>
      <c r="IK7" t="e">
        <f>AND(#REF!,"AAAAAHLt3/Q=")</f>
        <v>#REF!</v>
      </c>
      <c r="IL7" t="e">
        <f>AND(#REF!,"AAAAAHLt3/U=")</f>
        <v>#REF!</v>
      </c>
      <c r="IM7" t="e">
        <f>IF(#REF!,"AAAAAHLt3/Y=",0)</f>
        <v>#REF!</v>
      </c>
      <c r="IN7" t="e">
        <f>AND(#REF!,"AAAAAHLt3/c=")</f>
        <v>#REF!</v>
      </c>
      <c r="IO7" t="e">
        <f>AND(#REF!,"AAAAAHLt3/g=")</f>
        <v>#REF!</v>
      </c>
      <c r="IP7" t="e">
        <f>AND(#REF!,"AAAAAHLt3/k=")</f>
        <v>#REF!</v>
      </c>
      <c r="IQ7" t="e">
        <f>AND(#REF!,"AAAAAHLt3/o=")</f>
        <v>#REF!</v>
      </c>
      <c r="IR7" t="e">
        <f>AND(#REF!,"AAAAAHLt3/s=")</f>
        <v>#REF!</v>
      </c>
      <c r="IS7" t="e">
        <f>AND(#REF!,"AAAAAHLt3/w=")</f>
        <v>#REF!</v>
      </c>
      <c r="IT7" t="e">
        <f>AND(#REF!,"AAAAAHLt3/0=")</f>
        <v>#REF!</v>
      </c>
      <c r="IU7" t="e">
        <f>AND(#REF!,"AAAAAHLt3/4=")</f>
        <v>#REF!</v>
      </c>
      <c r="IV7" t="e">
        <f>AND(#REF!,"AAAAAHLt3/8=")</f>
        <v>#REF!</v>
      </c>
    </row>
    <row r="8" spans="1:256" x14ac:dyDescent="0.2">
      <c r="A8" t="e">
        <f>AND(#REF!,"AAAAAGW/jQA=")</f>
        <v>#REF!</v>
      </c>
      <c r="B8" t="e">
        <f>AND(#REF!,"AAAAAGW/jQE=")</f>
        <v>#REF!</v>
      </c>
      <c r="C8" t="e">
        <f>AND(#REF!,"AAAAAGW/jQI=")</f>
        <v>#REF!</v>
      </c>
      <c r="D8" t="e">
        <f>AND(#REF!,"AAAAAGW/jQM=")</f>
        <v>#REF!</v>
      </c>
      <c r="E8" t="e">
        <f>AND(#REF!,"AAAAAGW/jQQ=")</f>
        <v>#REF!</v>
      </c>
      <c r="F8" t="e">
        <f>AND(#REF!,"AAAAAGW/jQU=")</f>
        <v>#REF!</v>
      </c>
      <c r="G8" t="e">
        <f>AND(#REF!,"AAAAAGW/jQY=")</f>
        <v>#REF!</v>
      </c>
      <c r="H8" t="e">
        <f>AND(#REF!,"AAAAAGW/jQc=")</f>
        <v>#REF!</v>
      </c>
      <c r="I8" t="e">
        <f>AND(#REF!,"AAAAAGW/jQg=")</f>
        <v>#REF!</v>
      </c>
      <c r="J8" t="e">
        <f>AND(#REF!,"AAAAAGW/jQk=")</f>
        <v>#REF!</v>
      </c>
      <c r="K8" t="e">
        <f>AND(#REF!,"AAAAAGW/jQo=")</f>
        <v>#REF!</v>
      </c>
      <c r="L8" t="e">
        <f>AND(#REF!,"AAAAAGW/jQs=")</f>
        <v>#REF!</v>
      </c>
      <c r="M8" t="e">
        <f>AND(#REF!,"AAAAAGW/jQw=")</f>
        <v>#REF!</v>
      </c>
      <c r="N8" t="e">
        <f>AND(#REF!,"AAAAAGW/jQ0=")</f>
        <v>#REF!</v>
      </c>
      <c r="O8" t="e">
        <f>AND(#REF!,"AAAAAGW/jQ4=")</f>
        <v>#REF!</v>
      </c>
      <c r="P8" t="e">
        <f>IF(#REF!,"AAAAAGW/jQ8=",0)</f>
        <v>#REF!</v>
      </c>
      <c r="Q8" t="e">
        <f>AND(#REF!,"AAAAAGW/jRA=")</f>
        <v>#REF!</v>
      </c>
      <c r="R8" t="e">
        <f>AND(#REF!,"AAAAAGW/jRE=")</f>
        <v>#REF!</v>
      </c>
      <c r="S8" t="e">
        <f>AND(#REF!,"AAAAAGW/jRI=")</f>
        <v>#REF!</v>
      </c>
      <c r="T8" t="e">
        <f>AND(#REF!,"AAAAAGW/jRM=")</f>
        <v>#REF!</v>
      </c>
      <c r="U8" t="e">
        <f>AND(#REF!,"AAAAAGW/jRQ=")</f>
        <v>#REF!</v>
      </c>
      <c r="V8" t="e">
        <f>AND(#REF!,"AAAAAGW/jRU=")</f>
        <v>#REF!</v>
      </c>
      <c r="W8" t="e">
        <f>AND(#REF!,"AAAAAGW/jRY=")</f>
        <v>#REF!</v>
      </c>
      <c r="X8" t="e">
        <f>AND(#REF!,"AAAAAGW/jRc=")</f>
        <v>#REF!</v>
      </c>
      <c r="Y8" t="e">
        <f>AND(#REF!,"AAAAAGW/jRg=")</f>
        <v>#REF!</v>
      </c>
      <c r="Z8" t="e">
        <f>AND(#REF!,"AAAAAGW/jRk=")</f>
        <v>#REF!</v>
      </c>
      <c r="AA8" t="e">
        <f>AND(#REF!,"AAAAAGW/jRo=")</f>
        <v>#REF!</v>
      </c>
      <c r="AB8" t="e">
        <f>AND(#REF!,"AAAAAGW/jRs=")</f>
        <v>#REF!</v>
      </c>
      <c r="AC8" t="e">
        <f>AND(#REF!,"AAAAAGW/jRw=")</f>
        <v>#REF!</v>
      </c>
      <c r="AD8" t="e">
        <f>AND(#REF!,"AAAAAGW/jR0=")</f>
        <v>#REF!</v>
      </c>
      <c r="AE8" t="e">
        <f>AND(#REF!,"AAAAAGW/jR4=")</f>
        <v>#REF!</v>
      </c>
      <c r="AF8" t="e">
        <f>AND(#REF!,"AAAAAGW/jR8=")</f>
        <v>#REF!</v>
      </c>
      <c r="AG8" t="e">
        <f>AND(#REF!,"AAAAAGW/jSA=")</f>
        <v>#REF!</v>
      </c>
      <c r="AH8" t="e">
        <f>AND(#REF!,"AAAAAGW/jSE=")</f>
        <v>#REF!</v>
      </c>
      <c r="AI8" t="e">
        <f>AND(#REF!,"AAAAAGW/jSI=")</f>
        <v>#REF!</v>
      </c>
      <c r="AJ8" t="e">
        <f>AND(#REF!,"AAAAAGW/jSM=")</f>
        <v>#REF!</v>
      </c>
      <c r="AK8" t="e">
        <f>AND(#REF!,"AAAAAGW/jSQ=")</f>
        <v>#REF!</v>
      </c>
      <c r="AL8" t="e">
        <f>AND(#REF!,"AAAAAGW/jSU=")</f>
        <v>#REF!</v>
      </c>
      <c r="AM8" t="e">
        <f>AND(#REF!,"AAAAAGW/jSY=")</f>
        <v>#REF!</v>
      </c>
      <c r="AN8" t="e">
        <f>AND(#REF!,"AAAAAGW/jSc=")</f>
        <v>#REF!</v>
      </c>
      <c r="AO8" t="e">
        <f>IF(#REF!,"AAAAAGW/jSg=",0)</f>
        <v>#REF!</v>
      </c>
      <c r="AP8" t="e">
        <f>AND(#REF!,"AAAAAGW/jSk=")</f>
        <v>#REF!</v>
      </c>
      <c r="AQ8" t="e">
        <f>AND(#REF!,"AAAAAGW/jSo=")</f>
        <v>#REF!</v>
      </c>
      <c r="AR8" t="e">
        <f>AND(#REF!,"AAAAAGW/jSs=")</f>
        <v>#REF!</v>
      </c>
      <c r="AS8" t="e">
        <f>AND(#REF!,"AAAAAGW/jSw=")</f>
        <v>#REF!</v>
      </c>
      <c r="AT8" t="e">
        <f>AND(#REF!,"AAAAAGW/jS0=")</f>
        <v>#REF!</v>
      </c>
      <c r="AU8" t="e">
        <f>AND(#REF!,"AAAAAGW/jS4=")</f>
        <v>#REF!</v>
      </c>
      <c r="AV8" t="e">
        <f>AND(#REF!,"AAAAAGW/jS8=")</f>
        <v>#REF!</v>
      </c>
      <c r="AW8" t="e">
        <f>AND(#REF!,"AAAAAGW/jTA=")</f>
        <v>#REF!</v>
      </c>
      <c r="AX8" t="e">
        <f>AND(#REF!,"AAAAAGW/jTE=")</f>
        <v>#REF!</v>
      </c>
      <c r="AY8" t="e">
        <f>AND(#REF!,"AAAAAGW/jTI=")</f>
        <v>#REF!</v>
      </c>
      <c r="AZ8" t="e">
        <f>AND(#REF!,"AAAAAGW/jTM=")</f>
        <v>#REF!</v>
      </c>
      <c r="BA8" t="e">
        <f>AND(#REF!,"AAAAAGW/jTQ=")</f>
        <v>#REF!</v>
      </c>
      <c r="BB8" t="e">
        <f>AND(#REF!,"AAAAAGW/jTU=")</f>
        <v>#REF!</v>
      </c>
      <c r="BC8" t="e">
        <f>AND(#REF!,"AAAAAGW/jTY=")</f>
        <v>#REF!</v>
      </c>
      <c r="BD8" t="e">
        <f>AND(#REF!,"AAAAAGW/jTc=")</f>
        <v>#REF!</v>
      </c>
      <c r="BE8" t="e">
        <f>AND(#REF!,"AAAAAGW/jTg=")</f>
        <v>#REF!</v>
      </c>
      <c r="BF8" t="e">
        <f>AND(#REF!,"AAAAAGW/jTk=")</f>
        <v>#REF!</v>
      </c>
      <c r="BG8" t="e">
        <f>AND(#REF!,"AAAAAGW/jTo=")</f>
        <v>#REF!</v>
      </c>
      <c r="BH8" t="e">
        <f>AND(#REF!,"AAAAAGW/jTs=")</f>
        <v>#REF!</v>
      </c>
      <c r="BI8" t="e">
        <f>AND(#REF!,"AAAAAGW/jTw=")</f>
        <v>#REF!</v>
      </c>
      <c r="BJ8" t="e">
        <f>AND(#REF!,"AAAAAGW/jT0=")</f>
        <v>#REF!</v>
      </c>
      <c r="BK8" t="e">
        <f>AND(#REF!,"AAAAAGW/jT4=")</f>
        <v>#REF!</v>
      </c>
      <c r="BL8" t="e">
        <f>AND(#REF!,"AAAAAGW/jT8=")</f>
        <v>#REF!</v>
      </c>
      <c r="BM8" t="e">
        <f>AND(#REF!,"AAAAAGW/jUA=")</f>
        <v>#REF!</v>
      </c>
      <c r="BN8" t="e">
        <f>IF(#REF!,"AAAAAGW/jUE=",0)</f>
        <v>#REF!</v>
      </c>
      <c r="BO8" t="e">
        <f>AND(#REF!,"AAAAAGW/jUI=")</f>
        <v>#REF!</v>
      </c>
      <c r="BP8" t="e">
        <f>AND(#REF!,"AAAAAGW/jUM=")</f>
        <v>#REF!</v>
      </c>
      <c r="BQ8" t="e">
        <f>AND(#REF!,"AAAAAGW/jUQ=")</f>
        <v>#REF!</v>
      </c>
      <c r="BR8" t="e">
        <f>AND(#REF!,"AAAAAGW/jUU=")</f>
        <v>#REF!</v>
      </c>
      <c r="BS8" t="e">
        <f>AND(#REF!,"AAAAAGW/jUY=")</f>
        <v>#REF!</v>
      </c>
      <c r="BT8" t="e">
        <f>AND(#REF!,"AAAAAGW/jUc=")</f>
        <v>#REF!</v>
      </c>
      <c r="BU8" t="e">
        <f>AND(#REF!,"AAAAAGW/jUg=")</f>
        <v>#REF!</v>
      </c>
      <c r="BV8" t="e">
        <f>AND(#REF!,"AAAAAGW/jUk=")</f>
        <v>#REF!</v>
      </c>
      <c r="BW8" t="e">
        <f>AND(#REF!,"AAAAAGW/jUo=")</f>
        <v>#REF!</v>
      </c>
      <c r="BX8" t="e">
        <f>AND(#REF!,"AAAAAGW/jUs=")</f>
        <v>#REF!</v>
      </c>
      <c r="BY8" t="e">
        <f>AND(#REF!,"AAAAAGW/jUw=")</f>
        <v>#REF!</v>
      </c>
      <c r="BZ8" t="e">
        <f>AND(#REF!,"AAAAAGW/jU0=")</f>
        <v>#REF!</v>
      </c>
      <c r="CA8" t="e">
        <f>AND(#REF!,"AAAAAGW/jU4=")</f>
        <v>#REF!</v>
      </c>
      <c r="CB8" t="e">
        <f>AND(#REF!,"AAAAAGW/jU8=")</f>
        <v>#REF!</v>
      </c>
      <c r="CC8" t="e">
        <f>AND(#REF!,"AAAAAGW/jVA=")</f>
        <v>#REF!</v>
      </c>
      <c r="CD8" t="e">
        <f>AND(#REF!,"AAAAAGW/jVE=")</f>
        <v>#REF!</v>
      </c>
      <c r="CE8" t="e">
        <f>AND(#REF!,"AAAAAGW/jVI=")</f>
        <v>#REF!</v>
      </c>
      <c r="CF8" t="e">
        <f>AND(#REF!,"AAAAAGW/jVM=")</f>
        <v>#REF!</v>
      </c>
      <c r="CG8" t="e">
        <f>AND(#REF!,"AAAAAGW/jVQ=")</f>
        <v>#REF!</v>
      </c>
      <c r="CH8" t="e">
        <f>AND(#REF!,"AAAAAGW/jVU=")</f>
        <v>#REF!</v>
      </c>
      <c r="CI8" t="e">
        <f>AND(#REF!,"AAAAAGW/jVY=")</f>
        <v>#REF!</v>
      </c>
      <c r="CJ8" t="e">
        <f>AND(#REF!,"AAAAAGW/jVc=")</f>
        <v>#REF!</v>
      </c>
      <c r="CK8" t="e">
        <f>AND(#REF!,"AAAAAGW/jVg=")</f>
        <v>#REF!</v>
      </c>
      <c r="CL8" t="e">
        <f>AND(#REF!,"AAAAAGW/jVk=")</f>
        <v>#REF!</v>
      </c>
      <c r="CM8" t="e">
        <f>IF(#REF!,"AAAAAGW/jVo=",0)</f>
        <v>#REF!</v>
      </c>
      <c r="CN8" t="e">
        <f>AND(#REF!,"AAAAAGW/jVs=")</f>
        <v>#REF!</v>
      </c>
      <c r="CO8" t="e">
        <f>AND(#REF!,"AAAAAGW/jVw=")</f>
        <v>#REF!</v>
      </c>
      <c r="CP8" t="e">
        <f>AND(#REF!,"AAAAAGW/jV0=")</f>
        <v>#REF!</v>
      </c>
      <c r="CQ8" t="e">
        <f>AND(#REF!,"AAAAAGW/jV4=")</f>
        <v>#REF!</v>
      </c>
      <c r="CR8" t="e">
        <f>AND(#REF!,"AAAAAGW/jV8=")</f>
        <v>#REF!</v>
      </c>
      <c r="CS8" t="e">
        <f>AND(#REF!,"AAAAAGW/jWA=")</f>
        <v>#REF!</v>
      </c>
      <c r="CT8" t="e">
        <f>AND(#REF!,"AAAAAGW/jWE=")</f>
        <v>#REF!</v>
      </c>
      <c r="CU8" t="e">
        <f>AND(#REF!,"AAAAAGW/jWI=")</f>
        <v>#REF!</v>
      </c>
      <c r="CV8" t="e">
        <f>AND(#REF!,"AAAAAGW/jWM=")</f>
        <v>#REF!</v>
      </c>
      <c r="CW8" t="e">
        <f>AND(#REF!,"AAAAAGW/jWQ=")</f>
        <v>#REF!</v>
      </c>
      <c r="CX8" t="e">
        <f>AND(#REF!,"AAAAAGW/jWU=")</f>
        <v>#REF!</v>
      </c>
      <c r="CY8" t="e">
        <f>AND(#REF!,"AAAAAGW/jWY=")</f>
        <v>#REF!</v>
      </c>
      <c r="CZ8" t="e">
        <f>AND(#REF!,"AAAAAGW/jWc=")</f>
        <v>#REF!</v>
      </c>
      <c r="DA8" t="e">
        <f>AND(#REF!,"AAAAAGW/jWg=")</f>
        <v>#REF!</v>
      </c>
      <c r="DB8" t="e">
        <f>AND(#REF!,"AAAAAGW/jWk=")</f>
        <v>#REF!</v>
      </c>
      <c r="DC8" t="e">
        <f>AND(#REF!,"AAAAAGW/jWo=")</f>
        <v>#REF!</v>
      </c>
      <c r="DD8" t="e">
        <f>AND(#REF!,"AAAAAGW/jWs=")</f>
        <v>#REF!</v>
      </c>
      <c r="DE8" t="e">
        <f>AND(#REF!,"AAAAAGW/jWw=")</f>
        <v>#REF!</v>
      </c>
      <c r="DF8" t="e">
        <f>AND(#REF!,"AAAAAGW/jW0=")</f>
        <v>#REF!</v>
      </c>
      <c r="DG8" t="e">
        <f>AND(#REF!,"AAAAAGW/jW4=")</f>
        <v>#REF!</v>
      </c>
      <c r="DH8" t="e">
        <f>AND(#REF!,"AAAAAGW/jW8=")</f>
        <v>#REF!</v>
      </c>
      <c r="DI8" t="e">
        <f>AND(#REF!,"AAAAAGW/jXA=")</f>
        <v>#REF!</v>
      </c>
      <c r="DJ8" t="e">
        <f>AND(#REF!,"AAAAAGW/jXE=")</f>
        <v>#REF!</v>
      </c>
      <c r="DK8" t="e">
        <f>AND(#REF!,"AAAAAGW/jXI=")</f>
        <v>#REF!</v>
      </c>
      <c r="DL8" t="e">
        <f>IF(#REF!,"AAAAAGW/jXM=",0)</f>
        <v>#REF!</v>
      </c>
      <c r="DM8" t="e">
        <f>AND(#REF!,"AAAAAGW/jXQ=")</f>
        <v>#REF!</v>
      </c>
      <c r="DN8" t="e">
        <f>AND(#REF!,"AAAAAGW/jXU=")</f>
        <v>#REF!</v>
      </c>
      <c r="DO8" t="e">
        <f>AND(#REF!,"AAAAAGW/jXY=")</f>
        <v>#REF!</v>
      </c>
      <c r="DP8" t="e">
        <f>AND(#REF!,"AAAAAGW/jXc=")</f>
        <v>#REF!</v>
      </c>
      <c r="DQ8" t="e">
        <f>AND(#REF!,"AAAAAGW/jXg=")</f>
        <v>#REF!</v>
      </c>
      <c r="DR8" t="e">
        <f>AND(#REF!,"AAAAAGW/jXk=")</f>
        <v>#REF!</v>
      </c>
      <c r="DS8" t="e">
        <f>AND(#REF!,"AAAAAGW/jXo=")</f>
        <v>#REF!</v>
      </c>
      <c r="DT8" t="e">
        <f>AND(#REF!,"AAAAAGW/jXs=")</f>
        <v>#REF!</v>
      </c>
      <c r="DU8" t="e">
        <f>AND(#REF!,"AAAAAGW/jXw=")</f>
        <v>#REF!</v>
      </c>
      <c r="DV8" t="e">
        <f>AND(#REF!,"AAAAAGW/jX0=")</f>
        <v>#REF!</v>
      </c>
      <c r="DW8" t="e">
        <f>AND(#REF!,"AAAAAGW/jX4=")</f>
        <v>#REF!</v>
      </c>
      <c r="DX8" t="e">
        <f>AND(#REF!,"AAAAAGW/jX8=")</f>
        <v>#REF!</v>
      </c>
      <c r="DY8" t="e">
        <f>AND(#REF!,"AAAAAGW/jYA=")</f>
        <v>#REF!</v>
      </c>
      <c r="DZ8" t="e">
        <f>AND(#REF!,"AAAAAGW/jYE=")</f>
        <v>#REF!</v>
      </c>
      <c r="EA8" t="e">
        <f>AND(#REF!,"AAAAAGW/jYI=")</f>
        <v>#REF!</v>
      </c>
      <c r="EB8" t="e">
        <f>AND(#REF!,"AAAAAGW/jYM=")</f>
        <v>#REF!</v>
      </c>
      <c r="EC8" t="e">
        <f>AND(#REF!,"AAAAAGW/jYQ=")</f>
        <v>#REF!</v>
      </c>
      <c r="ED8" t="e">
        <f>AND(#REF!,"AAAAAGW/jYU=")</f>
        <v>#REF!</v>
      </c>
      <c r="EE8" t="e">
        <f>AND(#REF!,"AAAAAGW/jYY=")</f>
        <v>#REF!</v>
      </c>
      <c r="EF8" t="e">
        <f>AND(#REF!,"AAAAAGW/jYc=")</f>
        <v>#REF!</v>
      </c>
      <c r="EG8" t="e">
        <f>AND(#REF!,"AAAAAGW/jYg=")</f>
        <v>#REF!</v>
      </c>
      <c r="EH8" t="e">
        <f>AND(#REF!,"AAAAAGW/jYk=")</f>
        <v>#REF!</v>
      </c>
      <c r="EI8" t="e">
        <f>AND(#REF!,"AAAAAGW/jYo=")</f>
        <v>#REF!</v>
      </c>
      <c r="EJ8" t="e">
        <f>AND(#REF!,"AAAAAGW/jYs=")</f>
        <v>#REF!</v>
      </c>
      <c r="EK8" t="e">
        <f>IF(#REF!,"AAAAAGW/jYw=",0)</f>
        <v>#REF!</v>
      </c>
      <c r="EL8" t="e">
        <f>AND(#REF!,"AAAAAGW/jY0=")</f>
        <v>#REF!</v>
      </c>
      <c r="EM8" t="e">
        <f>AND(#REF!,"AAAAAGW/jY4=")</f>
        <v>#REF!</v>
      </c>
      <c r="EN8" t="e">
        <f>AND(#REF!,"AAAAAGW/jY8=")</f>
        <v>#REF!</v>
      </c>
      <c r="EO8" t="e">
        <f>AND(#REF!,"AAAAAGW/jZA=")</f>
        <v>#REF!</v>
      </c>
      <c r="EP8" t="e">
        <f>AND(#REF!,"AAAAAGW/jZE=")</f>
        <v>#REF!</v>
      </c>
      <c r="EQ8" t="e">
        <f>AND(#REF!,"AAAAAGW/jZI=")</f>
        <v>#REF!</v>
      </c>
      <c r="ER8" t="e">
        <f>AND(#REF!,"AAAAAGW/jZM=")</f>
        <v>#REF!</v>
      </c>
      <c r="ES8" t="e">
        <f>AND(#REF!,"AAAAAGW/jZQ=")</f>
        <v>#REF!</v>
      </c>
      <c r="ET8" t="e">
        <f>AND(#REF!,"AAAAAGW/jZU=")</f>
        <v>#REF!</v>
      </c>
      <c r="EU8" t="e">
        <f>AND(#REF!,"AAAAAGW/jZY=")</f>
        <v>#REF!</v>
      </c>
      <c r="EV8" t="e">
        <f>AND(#REF!,"AAAAAGW/jZc=")</f>
        <v>#REF!</v>
      </c>
      <c r="EW8" t="e">
        <f>AND(#REF!,"AAAAAGW/jZg=")</f>
        <v>#REF!</v>
      </c>
      <c r="EX8" t="e">
        <f>AND(#REF!,"AAAAAGW/jZk=")</f>
        <v>#REF!</v>
      </c>
      <c r="EY8" t="e">
        <f>AND(#REF!,"AAAAAGW/jZo=")</f>
        <v>#REF!</v>
      </c>
      <c r="EZ8" t="e">
        <f>AND(#REF!,"AAAAAGW/jZs=")</f>
        <v>#REF!</v>
      </c>
      <c r="FA8" t="e">
        <f>AND(#REF!,"AAAAAGW/jZw=")</f>
        <v>#REF!</v>
      </c>
      <c r="FB8" t="e">
        <f>AND(#REF!,"AAAAAGW/jZ0=")</f>
        <v>#REF!</v>
      </c>
      <c r="FC8" t="e">
        <f>AND(#REF!,"AAAAAGW/jZ4=")</f>
        <v>#REF!</v>
      </c>
      <c r="FD8" t="e">
        <f>AND(#REF!,"AAAAAGW/jZ8=")</f>
        <v>#REF!</v>
      </c>
      <c r="FE8" t="e">
        <f>AND(#REF!,"AAAAAGW/jaA=")</f>
        <v>#REF!</v>
      </c>
      <c r="FF8" t="e">
        <f>AND(#REF!,"AAAAAGW/jaE=")</f>
        <v>#REF!</v>
      </c>
      <c r="FG8" t="e">
        <f>AND(#REF!,"AAAAAGW/jaI=")</f>
        <v>#REF!</v>
      </c>
      <c r="FH8" t="e">
        <f>AND(#REF!,"AAAAAGW/jaM=")</f>
        <v>#REF!</v>
      </c>
      <c r="FI8" t="e">
        <f>AND(#REF!,"AAAAAGW/jaQ=")</f>
        <v>#REF!</v>
      </c>
      <c r="FJ8" t="e">
        <f>IF(#REF!,"AAAAAGW/jaU=",0)</f>
        <v>#REF!</v>
      </c>
      <c r="FK8" t="e">
        <f>AND(#REF!,"AAAAAGW/jaY=")</f>
        <v>#REF!</v>
      </c>
      <c r="FL8" t="e">
        <f>AND(#REF!,"AAAAAGW/jac=")</f>
        <v>#REF!</v>
      </c>
      <c r="FM8" t="e">
        <f>AND(#REF!,"AAAAAGW/jag=")</f>
        <v>#REF!</v>
      </c>
      <c r="FN8" t="e">
        <f>AND(#REF!,"AAAAAGW/jak=")</f>
        <v>#REF!</v>
      </c>
      <c r="FO8" t="e">
        <f>AND(#REF!,"AAAAAGW/jao=")</f>
        <v>#REF!</v>
      </c>
      <c r="FP8" t="e">
        <f>AND(#REF!,"AAAAAGW/jas=")</f>
        <v>#REF!</v>
      </c>
      <c r="FQ8" t="e">
        <f>AND(#REF!,"AAAAAGW/jaw=")</f>
        <v>#REF!</v>
      </c>
      <c r="FR8" t="e">
        <f>AND(#REF!,"AAAAAGW/ja0=")</f>
        <v>#REF!</v>
      </c>
      <c r="FS8" t="e">
        <f>AND(#REF!,"AAAAAGW/ja4=")</f>
        <v>#REF!</v>
      </c>
      <c r="FT8" t="e">
        <f>AND(#REF!,"AAAAAGW/ja8=")</f>
        <v>#REF!</v>
      </c>
      <c r="FU8" t="e">
        <f>AND(#REF!,"AAAAAGW/jbA=")</f>
        <v>#REF!</v>
      </c>
      <c r="FV8" t="e">
        <f>AND(#REF!,"AAAAAGW/jbE=")</f>
        <v>#REF!</v>
      </c>
      <c r="FW8" t="e">
        <f>AND(#REF!,"AAAAAGW/jbI=")</f>
        <v>#REF!</v>
      </c>
      <c r="FX8" t="e">
        <f>AND(#REF!,"AAAAAGW/jbM=")</f>
        <v>#REF!</v>
      </c>
      <c r="FY8" t="e">
        <f>AND(#REF!,"AAAAAGW/jbQ=")</f>
        <v>#REF!</v>
      </c>
      <c r="FZ8" t="e">
        <f>AND(#REF!,"AAAAAGW/jbU=")</f>
        <v>#REF!</v>
      </c>
      <c r="GA8" t="e">
        <f>AND(#REF!,"AAAAAGW/jbY=")</f>
        <v>#REF!</v>
      </c>
      <c r="GB8" t="e">
        <f>AND(#REF!,"AAAAAGW/jbc=")</f>
        <v>#REF!</v>
      </c>
      <c r="GC8" t="e">
        <f>AND(#REF!,"AAAAAGW/jbg=")</f>
        <v>#REF!</v>
      </c>
      <c r="GD8" t="e">
        <f>AND(#REF!,"AAAAAGW/jbk=")</f>
        <v>#REF!</v>
      </c>
      <c r="GE8" t="e">
        <f>AND(#REF!,"AAAAAGW/jbo=")</f>
        <v>#REF!</v>
      </c>
      <c r="GF8" t="e">
        <f>AND(#REF!,"AAAAAGW/jbs=")</f>
        <v>#REF!</v>
      </c>
      <c r="GG8" t="e">
        <f>AND(#REF!,"AAAAAGW/jbw=")</f>
        <v>#REF!</v>
      </c>
      <c r="GH8" t="e">
        <f>AND(#REF!,"AAAAAGW/jb0=")</f>
        <v>#REF!</v>
      </c>
      <c r="GI8" t="e">
        <f>IF(#REF!,"AAAAAGW/jb4=",0)</f>
        <v>#REF!</v>
      </c>
      <c r="GJ8" t="e">
        <f>AND(#REF!,"AAAAAGW/jb8=")</f>
        <v>#REF!</v>
      </c>
      <c r="GK8" t="e">
        <f>AND(#REF!,"AAAAAGW/jcA=")</f>
        <v>#REF!</v>
      </c>
      <c r="GL8" t="e">
        <f>AND(#REF!,"AAAAAGW/jcE=")</f>
        <v>#REF!</v>
      </c>
      <c r="GM8" t="e">
        <f>AND(#REF!,"AAAAAGW/jcI=")</f>
        <v>#REF!</v>
      </c>
      <c r="GN8" t="e">
        <f>AND(#REF!,"AAAAAGW/jcM=")</f>
        <v>#REF!</v>
      </c>
      <c r="GO8" t="e">
        <f>AND(#REF!,"AAAAAGW/jcQ=")</f>
        <v>#REF!</v>
      </c>
      <c r="GP8" t="e">
        <f>AND(#REF!,"AAAAAGW/jcU=")</f>
        <v>#REF!</v>
      </c>
      <c r="GQ8" t="e">
        <f>AND(#REF!,"AAAAAGW/jcY=")</f>
        <v>#REF!</v>
      </c>
      <c r="GR8" t="e">
        <f>AND(#REF!,"AAAAAGW/jcc=")</f>
        <v>#REF!</v>
      </c>
      <c r="GS8" t="e">
        <f>AND(#REF!,"AAAAAGW/jcg=")</f>
        <v>#REF!</v>
      </c>
      <c r="GT8" t="e">
        <f>AND(#REF!,"AAAAAGW/jck=")</f>
        <v>#REF!</v>
      </c>
      <c r="GU8" t="e">
        <f>AND(#REF!,"AAAAAGW/jco=")</f>
        <v>#REF!</v>
      </c>
      <c r="GV8" t="e">
        <f>AND(#REF!,"AAAAAGW/jcs=")</f>
        <v>#REF!</v>
      </c>
      <c r="GW8" t="e">
        <f>AND(#REF!,"AAAAAGW/jcw=")</f>
        <v>#REF!</v>
      </c>
      <c r="GX8" t="e">
        <f>AND(#REF!,"AAAAAGW/jc0=")</f>
        <v>#REF!</v>
      </c>
      <c r="GY8" t="e">
        <f>AND(#REF!,"AAAAAGW/jc4=")</f>
        <v>#REF!</v>
      </c>
      <c r="GZ8" t="e">
        <f>AND(#REF!,"AAAAAGW/jc8=")</f>
        <v>#REF!</v>
      </c>
      <c r="HA8" t="e">
        <f>AND(#REF!,"AAAAAGW/jdA=")</f>
        <v>#REF!</v>
      </c>
      <c r="HB8" t="e">
        <f>AND(#REF!,"AAAAAGW/jdE=")</f>
        <v>#REF!</v>
      </c>
      <c r="HC8" t="e">
        <f>AND(#REF!,"AAAAAGW/jdI=")</f>
        <v>#REF!</v>
      </c>
      <c r="HD8" t="e">
        <f>AND(#REF!,"AAAAAGW/jdM=")</f>
        <v>#REF!</v>
      </c>
      <c r="HE8" t="e">
        <f>AND(#REF!,"AAAAAGW/jdQ=")</f>
        <v>#REF!</v>
      </c>
      <c r="HF8" t="e">
        <f>AND(#REF!,"AAAAAGW/jdU=")</f>
        <v>#REF!</v>
      </c>
      <c r="HG8" t="e">
        <f>AND(#REF!,"AAAAAGW/jdY=")</f>
        <v>#REF!</v>
      </c>
      <c r="HH8" t="e">
        <f>IF(#REF!,"AAAAAGW/jdc=",0)</f>
        <v>#REF!</v>
      </c>
      <c r="HI8" t="e">
        <f>AND(#REF!,"AAAAAGW/jdg=")</f>
        <v>#REF!</v>
      </c>
      <c r="HJ8" t="e">
        <f>AND(#REF!,"AAAAAGW/jdk=")</f>
        <v>#REF!</v>
      </c>
      <c r="HK8" t="e">
        <f>AND(#REF!,"AAAAAGW/jdo=")</f>
        <v>#REF!</v>
      </c>
      <c r="HL8" t="e">
        <f>AND(#REF!,"AAAAAGW/jds=")</f>
        <v>#REF!</v>
      </c>
      <c r="HM8" t="e">
        <f>AND(#REF!,"AAAAAGW/jdw=")</f>
        <v>#REF!</v>
      </c>
      <c r="HN8" t="e">
        <f>AND(#REF!,"AAAAAGW/jd0=")</f>
        <v>#REF!</v>
      </c>
      <c r="HO8" t="e">
        <f>AND(#REF!,"AAAAAGW/jd4=")</f>
        <v>#REF!</v>
      </c>
      <c r="HP8" t="e">
        <f>AND(#REF!,"AAAAAGW/jd8=")</f>
        <v>#REF!</v>
      </c>
      <c r="HQ8" t="e">
        <f>AND(#REF!,"AAAAAGW/jeA=")</f>
        <v>#REF!</v>
      </c>
      <c r="HR8" t="e">
        <f>AND(#REF!,"AAAAAGW/jeE=")</f>
        <v>#REF!</v>
      </c>
      <c r="HS8" t="e">
        <f>AND(#REF!,"AAAAAGW/jeI=")</f>
        <v>#REF!</v>
      </c>
      <c r="HT8" t="e">
        <f>AND(#REF!,"AAAAAGW/jeM=")</f>
        <v>#REF!</v>
      </c>
      <c r="HU8" t="e">
        <f>AND(#REF!,"AAAAAGW/jeQ=")</f>
        <v>#REF!</v>
      </c>
      <c r="HV8" t="e">
        <f>AND(#REF!,"AAAAAGW/jeU=")</f>
        <v>#REF!</v>
      </c>
      <c r="HW8" t="e">
        <f>AND(#REF!,"AAAAAGW/jeY=")</f>
        <v>#REF!</v>
      </c>
      <c r="HX8" t="e">
        <f>AND(#REF!,"AAAAAGW/jec=")</f>
        <v>#REF!</v>
      </c>
      <c r="HY8" t="e">
        <f>AND(#REF!,"AAAAAGW/jeg=")</f>
        <v>#REF!</v>
      </c>
      <c r="HZ8" t="e">
        <f>AND(#REF!,"AAAAAGW/jek=")</f>
        <v>#REF!</v>
      </c>
      <c r="IA8" t="e">
        <f>AND(#REF!,"AAAAAGW/jeo=")</f>
        <v>#REF!</v>
      </c>
      <c r="IB8" t="e">
        <f>AND(#REF!,"AAAAAGW/jes=")</f>
        <v>#REF!</v>
      </c>
      <c r="IC8" t="e">
        <f>AND(#REF!,"AAAAAGW/jew=")</f>
        <v>#REF!</v>
      </c>
      <c r="ID8" t="e">
        <f>AND(#REF!,"AAAAAGW/je0=")</f>
        <v>#REF!</v>
      </c>
      <c r="IE8" t="e">
        <f>AND(#REF!,"AAAAAGW/je4=")</f>
        <v>#REF!</v>
      </c>
      <c r="IF8" t="e">
        <f>AND(#REF!,"AAAAAGW/je8=")</f>
        <v>#REF!</v>
      </c>
      <c r="IG8" t="e">
        <f>IF(#REF!,"AAAAAGW/jfA=",0)</f>
        <v>#REF!</v>
      </c>
      <c r="IH8" t="e">
        <f>AND(#REF!,"AAAAAGW/jfE=")</f>
        <v>#REF!</v>
      </c>
      <c r="II8" t="e">
        <f>AND(#REF!,"AAAAAGW/jfI=")</f>
        <v>#REF!</v>
      </c>
      <c r="IJ8" t="e">
        <f>AND(#REF!,"AAAAAGW/jfM=")</f>
        <v>#REF!</v>
      </c>
      <c r="IK8" t="e">
        <f>AND(#REF!,"AAAAAGW/jfQ=")</f>
        <v>#REF!</v>
      </c>
      <c r="IL8" t="e">
        <f>AND(#REF!,"AAAAAGW/jfU=")</f>
        <v>#REF!</v>
      </c>
      <c r="IM8" t="e">
        <f>AND(#REF!,"AAAAAGW/jfY=")</f>
        <v>#REF!</v>
      </c>
      <c r="IN8" t="e">
        <f>AND(#REF!,"AAAAAGW/jfc=")</f>
        <v>#REF!</v>
      </c>
      <c r="IO8" t="e">
        <f>AND(#REF!,"AAAAAGW/jfg=")</f>
        <v>#REF!</v>
      </c>
      <c r="IP8" t="e">
        <f>AND(#REF!,"AAAAAGW/jfk=")</f>
        <v>#REF!</v>
      </c>
      <c r="IQ8" t="e">
        <f>AND(#REF!,"AAAAAGW/jfo=")</f>
        <v>#REF!</v>
      </c>
      <c r="IR8" t="e">
        <f>AND(#REF!,"AAAAAGW/jfs=")</f>
        <v>#REF!</v>
      </c>
      <c r="IS8" t="e">
        <f>AND(#REF!,"AAAAAGW/jfw=")</f>
        <v>#REF!</v>
      </c>
      <c r="IT8" t="e">
        <f>AND(#REF!,"AAAAAGW/jf0=")</f>
        <v>#REF!</v>
      </c>
      <c r="IU8" t="e">
        <f>AND(#REF!,"AAAAAGW/jf4=")</f>
        <v>#REF!</v>
      </c>
      <c r="IV8" t="e">
        <f>AND(#REF!,"AAAAAGW/jf8=")</f>
        <v>#REF!</v>
      </c>
    </row>
    <row r="9" spans="1:256" x14ac:dyDescent="0.2">
      <c r="A9" t="e">
        <f>AND(#REF!,"AAAAAH///wA=")</f>
        <v>#REF!</v>
      </c>
      <c r="B9" t="e">
        <f>AND(#REF!,"AAAAAH///wE=")</f>
        <v>#REF!</v>
      </c>
      <c r="C9" t="e">
        <f>AND(#REF!,"AAAAAH///wI=")</f>
        <v>#REF!</v>
      </c>
      <c r="D9" t="e">
        <f>AND(#REF!,"AAAAAH///wM=")</f>
        <v>#REF!</v>
      </c>
      <c r="E9" t="e">
        <f>AND(#REF!,"AAAAAH///wQ=")</f>
        <v>#REF!</v>
      </c>
      <c r="F9" t="e">
        <f>AND(#REF!,"AAAAAH///wU=")</f>
        <v>#REF!</v>
      </c>
      <c r="G9" t="e">
        <f>AND(#REF!,"AAAAAH///wY=")</f>
        <v>#REF!</v>
      </c>
      <c r="H9" t="e">
        <f>AND(#REF!,"AAAAAH///wc=")</f>
        <v>#REF!</v>
      </c>
      <c r="I9" t="e">
        <f>AND(#REF!,"AAAAAH///wg=")</f>
        <v>#REF!</v>
      </c>
      <c r="J9" t="e">
        <f>IF(#REF!,"AAAAAH///wk=",0)</f>
        <v>#REF!</v>
      </c>
      <c r="K9" t="e">
        <f>AND(#REF!,"AAAAAH///wo=")</f>
        <v>#REF!</v>
      </c>
      <c r="L9" t="e">
        <f>AND(#REF!,"AAAAAH///ws=")</f>
        <v>#REF!</v>
      </c>
      <c r="M9" t="e">
        <f>AND(#REF!,"AAAAAH///ww=")</f>
        <v>#REF!</v>
      </c>
      <c r="N9" t="e">
        <f>AND(#REF!,"AAAAAH///w0=")</f>
        <v>#REF!</v>
      </c>
      <c r="O9" t="e">
        <f>AND(#REF!,"AAAAAH///w4=")</f>
        <v>#REF!</v>
      </c>
      <c r="P9" t="e">
        <f>AND(#REF!,"AAAAAH///w8=")</f>
        <v>#REF!</v>
      </c>
      <c r="Q9" t="e">
        <f>AND(#REF!,"AAAAAH///xA=")</f>
        <v>#REF!</v>
      </c>
      <c r="R9" t="e">
        <f>AND(#REF!,"AAAAAH///xE=")</f>
        <v>#REF!</v>
      </c>
      <c r="S9" t="e">
        <f>AND(#REF!,"AAAAAH///xI=")</f>
        <v>#REF!</v>
      </c>
      <c r="T9" t="e">
        <f>AND(#REF!,"AAAAAH///xM=")</f>
        <v>#REF!</v>
      </c>
      <c r="U9" t="e">
        <f>AND(#REF!,"AAAAAH///xQ=")</f>
        <v>#REF!</v>
      </c>
      <c r="V9" t="e">
        <f>AND(#REF!,"AAAAAH///xU=")</f>
        <v>#REF!</v>
      </c>
      <c r="W9" t="e">
        <f>AND(#REF!,"AAAAAH///xY=")</f>
        <v>#REF!</v>
      </c>
      <c r="X9" t="e">
        <f>AND(#REF!,"AAAAAH///xc=")</f>
        <v>#REF!</v>
      </c>
      <c r="Y9" t="e">
        <f>AND(#REF!,"AAAAAH///xg=")</f>
        <v>#REF!</v>
      </c>
      <c r="Z9" t="e">
        <f>AND(#REF!,"AAAAAH///xk=")</f>
        <v>#REF!</v>
      </c>
      <c r="AA9" t="e">
        <f>AND(#REF!,"AAAAAH///xo=")</f>
        <v>#REF!</v>
      </c>
      <c r="AB9" t="e">
        <f>AND(#REF!,"AAAAAH///xs=")</f>
        <v>#REF!</v>
      </c>
      <c r="AC9" t="e">
        <f>AND(#REF!,"AAAAAH///xw=")</f>
        <v>#REF!</v>
      </c>
      <c r="AD9" t="e">
        <f>AND(#REF!,"AAAAAH///x0=")</f>
        <v>#REF!</v>
      </c>
      <c r="AE9" t="e">
        <f>AND(#REF!,"AAAAAH///x4=")</f>
        <v>#REF!</v>
      </c>
      <c r="AF9" t="e">
        <f>AND(#REF!,"AAAAAH///x8=")</f>
        <v>#REF!</v>
      </c>
      <c r="AG9" t="e">
        <f>AND(#REF!,"AAAAAH///yA=")</f>
        <v>#REF!</v>
      </c>
      <c r="AH9" t="e">
        <f>AND(#REF!,"AAAAAH///yE=")</f>
        <v>#REF!</v>
      </c>
      <c r="AI9" t="e">
        <f>IF(#REF!,"AAAAAH///yI=",0)</f>
        <v>#REF!</v>
      </c>
      <c r="AJ9" t="e">
        <f>AND(#REF!,"AAAAAH///yM=")</f>
        <v>#REF!</v>
      </c>
      <c r="AK9" t="e">
        <f>AND(#REF!,"AAAAAH///yQ=")</f>
        <v>#REF!</v>
      </c>
      <c r="AL9" t="e">
        <f>AND(#REF!,"AAAAAH///yU=")</f>
        <v>#REF!</v>
      </c>
      <c r="AM9" t="e">
        <f>AND(#REF!,"AAAAAH///yY=")</f>
        <v>#REF!</v>
      </c>
      <c r="AN9" t="e">
        <f>AND(#REF!,"AAAAAH///yc=")</f>
        <v>#REF!</v>
      </c>
      <c r="AO9" t="e">
        <f>AND(#REF!,"AAAAAH///yg=")</f>
        <v>#REF!</v>
      </c>
      <c r="AP9" t="e">
        <f>AND(#REF!,"AAAAAH///yk=")</f>
        <v>#REF!</v>
      </c>
      <c r="AQ9" t="e">
        <f>AND(#REF!,"AAAAAH///yo=")</f>
        <v>#REF!</v>
      </c>
      <c r="AR9" t="e">
        <f>AND(#REF!,"AAAAAH///ys=")</f>
        <v>#REF!</v>
      </c>
      <c r="AS9" t="e">
        <f>AND(#REF!,"AAAAAH///yw=")</f>
        <v>#REF!</v>
      </c>
      <c r="AT9" t="e">
        <f>AND(#REF!,"AAAAAH///y0=")</f>
        <v>#REF!</v>
      </c>
      <c r="AU9" t="e">
        <f>AND(#REF!,"AAAAAH///y4=")</f>
        <v>#REF!</v>
      </c>
      <c r="AV9" t="e">
        <f>AND(#REF!,"AAAAAH///y8=")</f>
        <v>#REF!</v>
      </c>
      <c r="AW9" t="e">
        <f>AND(#REF!,"AAAAAH///zA=")</f>
        <v>#REF!</v>
      </c>
      <c r="AX9" t="e">
        <f>AND(#REF!,"AAAAAH///zE=")</f>
        <v>#REF!</v>
      </c>
      <c r="AY9" t="e">
        <f>AND(#REF!,"AAAAAH///zI=")</f>
        <v>#REF!</v>
      </c>
      <c r="AZ9" t="e">
        <f>AND(#REF!,"AAAAAH///zM=")</f>
        <v>#REF!</v>
      </c>
      <c r="BA9" t="e">
        <f>AND(#REF!,"AAAAAH///zQ=")</f>
        <v>#REF!</v>
      </c>
      <c r="BB9" t="e">
        <f>AND(#REF!,"AAAAAH///zU=")</f>
        <v>#REF!</v>
      </c>
      <c r="BC9" t="e">
        <f>AND(#REF!,"AAAAAH///zY=")</f>
        <v>#REF!</v>
      </c>
      <c r="BD9" t="e">
        <f>AND(#REF!,"AAAAAH///zc=")</f>
        <v>#REF!</v>
      </c>
      <c r="BE9" t="e">
        <f>AND(#REF!,"AAAAAH///zg=")</f>
        <v>#REF!</v>
      </c>
      <c r="BF9" t="e">
        <f>AND(#REF!,"AAAAAH///zk=")</f>
        <v>#REF!</v>
      </c>
      <c r="BG9" t="e">
        <f>AND(#REF!,"AAAAAH///zo=")</f>
        <v>#REF!</v>
      </c>
      <c r="BH9" t="e">
        <f>IF(#REF!,"AAAAAH///zs=",0)</f>
        <v>#REF!</v>
      </c>
      <c r="BI9" t="e">
        <f>AND(#REF!,"AAAAAH///zw=")</f>
        <v>#REF!</v>
      </c>
      <c r="BJ9" t="e">
        <f>AND(#REF!,"AAAAAH///z0=")</f>
        <v>#REF!</v>
      </c>
      <c r="BK9" t="e">
        <f>AND(#REF!,"AAAAAH///z4=")</f>
        <v>#REF!</v>
      </c>
      <c r="BL9" t="e">
        <f>AND(#REF!,"AAAAAH///z8=")</f>
        <v>#REF!</v>
      </c>
      <c r="BM9" t="e">
        <f>AND(#REF!,"AAAAAH///0A=")</f>
        <v>#REF!</v>
      </c>
      <c r="BN9" t="e">
        <f>AND(#REF!,"AAAAAH///0E=")</f>
        <v>#REF!</v>
      </c>
      <c r="BO9" t="e">
        <f>AND(#REF!,"AAAAAH///0I=")</f>
        <v>#REF!</v>
      </c>
      <c r="BP9" t="e">
        <f>AND(#REF!,"AAAAAH///0M=")</f>
        <v>#REF!</v>
      </c>
      <c r="BQ9" t="e">
        <f>AND(#REF!,"AAAAAH///0Q=")</f>
        <v>#REF!</v>
      </c>
      <c r="BR9" t="e">
        <f>AND(#REF!,"AAAAAH///0U=")</f>
        <v>#REF!</v>
      </c>
      <c r="BS9" t="e">
        <f>AND(#REF!,"AAAAAH///0Y=")</f>
        <v>#REF!</v>
      </c>
      <c r="BT9" t="e">
        <f>AND(#REF!,"AAAAAH///0c=")</f>
        <v>#REF!</v>
      </c>
      <c r="BU9" t="e">
        <f>AND(#REF!,"AAAAAH///0g=")</f>
        <v>#REF!</v>
      </c>
      <c r="BV9" t="e">
        <f>AND(#REF!,"AAAAAH///0k=")</f>
        <v>#REF!</v>
      </c>
      <c r="BW9" t="e">
        <f>AND(#REF!,"AAAAAH///0o=")</f>
        <v>#REF!</v>
      </c>
      <c r="BX9" t="e">
        <f>AND(#REF!,"AAAAAH///0s=")</f>
        <v>#REF!</v>
      </c>
      <c r="BY9" t="e">
        <f>AND(#REF!,"AAAAAH///0w=")</f>
        <v>#REF!</v>
      </c>
      <c r="BZ9" t="e">
        <f>AND(#REF!,"AAAAAH///00=")</f>
        <v>#REF!</v>
      </c>
      <c r="CA9" t="e">
        <f>AND(#REF!,"AAAAAH///04=")</f>
        <v>#REF!</v>
      </c>
      <c r="CB9" t="e">
        <f>AND(#REF!,"AAAAAH///08=")</f>
        <v>#REF!</v>
      </c>
      <c r="CC9" t="e">
        <f>AND(#REF!,"AAAAAH///1A=")</f>
        <v>#REF!</v>
      </c>
      <c r="CD9" t="e">
        <f>AND(#REF!,"AAAAAH///1E=")</f>
        <v>#REF!</v>
      </c>
      <c r="CE9" t="e">
        <f>AND(#REF!,"AAAAAH///1I=")</f>
        <v>#REF!</v>
      </c>
      <c r="CF9" t="e">
        <f>AND(#REF!,"AAAAAH///1M=")</f>
        <v>#REF!</v>
      </c>
      <c r="CG9" t="e">
        <f>IF(#REF!,"AAAAAH///1Q=",0)</f>
        <v>#REF!</v>
      </c>
      <c r="CH9" t="e">
        <f>AND(#REF!,"AAAAAH///1U=")</f>
        <v>#REF!</v>
      </c>
      <c r="CI9" t="e">
        <f>AND(#REF!,"AAAAAH///1Y=")</f>
        <v>#REF!</v>
      </c>
      <c r="CJ9" t="e">
        <f>AND(#REF!,"AAAAAH///1c=")</f>
        <v>#REF!</v>
      </c>
      <c r="CK9" t="e">
        <f>AND(#REF!,"AAAAAH///1g=")</f>
        <v>#REF!</v>
      </c>
      <c r="CL9" t="e">
        <f>AND(#REF!,"AAAAAH///1k=")</f>
        <v>#REF!</v>
      </c>
      <c r="CM9" t="e">
        <f>AND(#REF!,"AAAAAH///1o=")</f>
        <v>#REF!</v>
      </c>
      <c r="CN9" t="e">
        <f>AND(#REF!,"AAAAAH///1s=")</f>
        <v>#REF!</v>
      </c>
      <c r="CO9" t="e">
        <f>AND(#REF!,"AAAAAH///1w=")</f>
        <v>#REF!</v>
      </c>
      <c r="CP9" t="e">
        <f>AND(#REF!,"AAAAAH///10=")</f>
        <v>#REF!</v>
      </c>
      <c r="CQ9" t="e">
        <f>AND(#REF!,"AAAAAH///14=")</f>
        <v>#REF!</v>
      </c>
      <c r="CR9" t="e">
        <f>AND(#REF!,"AAAAAH///18=")</f>
        <v>#REF!</v>
      </c>
      <c r="CS9" t="e">
        <f>AND(#REF!,"AAAAAH///2A=")</f>
        <v>#REF!</v>
      </c>
      <c r="CT9" t="e">
        <f>AND(#REF!,"AAAAAH///2E=")</f>
        <v>#REF!</v>
      </c>
      <c r="CU9" t="e">
        <f>AND(#REF!,"AAAAAH///2I=")</f>
        <v>#REF!</v>
      </c>
      <c r="CV9" t="e">
        <f>AND(#REF!,"AAAAAH///2M=")</f>
        <v>#REF!</v>
      </c>
      <c r="CW9" t="e">
        <f>AND(#REF!,"AAAAAH///2Q=")</f>
        <v>#REF!</v>
      </c>
      <c r="CX9" t="e">
        <f>AND(#REF!,"AAAAAH///2U=")</f>
        <v>#REF!</v>
      </c>
      <c r="CY9" t="e">
        <f>AND(#REF!,"AAAAAH///2Y=")</f>
        <v>#REF!</v>
      </c>
      <c r="CZ9" t="e">
        <f>AND(#REF!,"AAAAAH///2c=")</f>
        <v>#REF!</v>
      </c>
      <c r="DA9" t="e">
        <f>AND(#REF!,"AAAAAH///2g=")</f>
        <v>#REF!</v>
      </c>
      <c r="DB9" t="e">
        <f>AND(#REF!,"AAAAAH///2k=")</f>
        <v>#REF!</v>
      </c>
      <c r="DC9" t="e">
        <f>AND(#REF!,"AAAAAH///2o=")</f>
        <v>#REF!</v>
      </c>
      <c r="DD9" t="e">
        <f>AND(#REF!,"AAAAAH///2s=")</f>
        <v>#REF!</v>
      </c>
      <c r="DE9" t="e">
        <f>AND(#REF!,"AAAAAH///2w=")</f>
        <v>#REF!</v>
      </c>
      <c r="DF9" t="e">
        <f>IF(#REF!,"AAAAAH///20=",0)</f>
        <v>#REF!</v>
      </c>
      <c r="DG9" t="e">
        <f>AND(#REF!,"AAAAAH///24=")</f>
        <v>#REF!</v>
      </c>
      <c r="DH9" t="e">
        <f>AND(#REF!,"AAAAAH///28=")</f>
        <v>#REF!</v>
      </c>
      <c r="DI9" t="e">
        <f>AND(#REF!,"AAAAAH///3A=")</f>
        <v>#REF!</v>
      </c>
      <c r="DJ9" t="e">
        <f>AND(#REF!,"AAAAAH///3E=")</f>
        <v>#REF!</v>
      </c>
      <c r="DK9" t="e">
        <f>AND(#REF!,"AAAAAH///3I=")</f>
        <v>#REF!</v>
      </c>
      <c r="DL9" t="e">
        <f>AND(#REF!,"AAAAAH///3M=")</f>
        <v>#REF!</v>
      </c>
      <c r="DM9" t="e">
        <f>AND(#REF!,"AAAAAH///3Q=")</f>
        <v>#REF!</v>
      </c>
      <c r="DN9" t="e">
        <f>AND(#REF!,"AAAAAH///3U=")</f>
        <v>#REF!</v>
      </c>
      <c r="DO9" t="e">
        <f>AND(#REF!,"AAAAAH///3Y=")</f>
        <v>#REF!</v>
      </c>
      <c r="DP9" t="e">
        <f>AND(#REF!,"AAAAAH///3c=")</f>
        <v>#REF!</v>
      </c>
      <c r="DQ9" t="e">
        <f>AND(#REF!,"AAAAAH///3g=")</f>
        <v>#REF!</v>
      </c>
      <c r="DR9" t="e">
        <f>AND(#REF!,"AAAAAH///3k=")</f>
        <v>#REF!</v>
      </c>
      <c r="DS9" t="e">
        <f>AND(#REF!,"AAAAAH///3o=")</f>
        <v>#REF!</v>
      </c>
      <c r="DT9" t="e">
        <f>AND(#REF!,"AAAAAH///3s=")</f>
        <v>#REF!</v>
      </c>
      <c r="DU9" t="e">
        <f>AND(#REF!,"AAAAAH///3w=")</f>
        <v>#REF!</v>
      </c>
      <c r="DV9" t="e">
        <f>AND(#REF!,"AAAAAH///30=")</f>
        <v>#REF!</v>
      </c>
      <c r="DW9" t="e">
        <f>AND(#REF!,"AAAAAH///34=")</f>
        <v>#REF!</v>
      </c>
      <c r="DX9" t="e">
        <f>AND(#REF!,"AAAAAH///38=")</f>
        <v>#REF!</v>
      </c>
      <c r="DY9" t="e">
        <f>AND(#REF!,"AAAAAH///4A=")</f>
        <v>#REF!</v>
      </c>
      <c r="DZ9" t="e">
        <f>AND(#REF!,"AAAAAH///4E=")</f>
        <v>#REF!</v>
      </c>
      <c r="EA9" t="e">
        <f>AND(#REF!,"AAAAAH///4I=")</f>
        <v>#REF!</v>
      </c>
      <c r="EB9" t="e">
        <f>AND(#REF!,"AAAAAH///4M=")</f>
        <v>#REF!</v>
      </c>
      <c r="EC9" t="e">
        <f>AND(#REF!,"AAAAAH///4Q=")</f>
        <v>#REF!</v>
      </c>
      <c r="ED9" t="e">
        <f>AND(#REF!,"AAAAAH///4U=")</f>
        <v>#REF!</v>
      </c>
      <c r="EE9" t="e">
        <f>IF(#REF!,"AAAAAH///4Y=",0)</f>
        <v>#REF!</v>
      </c>
      <c r="EF9" t="e">
        <f>AND(#REF!,"AAAAAH///4c=")</f>
        <v>#REF!</v>
      </c>
      <c r="EG9" t="e">
        <f>AND(#REF!,"AAAAAH///4g=")</f>
        <v>#REF!</v>
      </c>
      <c r="EH9" t="e">
        <f>AND(#REF!,"AAAAAH///4k=")</f>
        <v>#REF!</v>
      </c>
      <c r="EI9" t="e">
        <f>AND(#REF!,"AAAAAH///4o=")</f>
        <v>#REF!</v>
      </c>
      <c r="EJ9" t="e">
        <f>AND(#REF!,"AAAAAH///4s=")</f>
        <v>#REF!</v>
      </c>
      <c r="EK9" t="e">
        <f>AND(#REF!,"AAAAAH///4w=")</f>
        <v>#REF!</v>
      </c>
      <c r="EL9" t="e">
        <f>AND(#REF!,"AAAAAH///40=")</f>
        <v>#REF!</v>
      </c>
      <c r="EM9" t="e">
        <f>AND(#REF!,"AAAAAH///44=")</f>
        <v>#REF!</v>
      </c>
      <c r="EN9" t="e">
        <f>AND(#REF!,"AAAAAH///48=")</f>
        <v>#REF!</v>
      </c>
      <c r="EO9" t="e">
        <f>AND(#REF!,"AAAAAH///5A=")</f>
        <v>#REF!</v>
      </c>
      <c r="EP9" t="e">
        <f>AND(#REF!,"AAAAAH///5E=")</f>
        <v>#REF!</v>
      </c>
      <c r="EQ9" t="e">
        <f>AND(#REF!,"AAAAAH///5I=")</f>
        <v>#REF!</v>
      </c>
      <c r="ER9" t="e">
        <f>AND(#REF!,"AAAAAH///5M=")</f>
        <v>#REF!</v>
      </c>
      <c r="ES9" t="e">
        <f>AND(#REF!,"AAAAAH///5Q=")</f>
        <v>#REF!</v>
      </c>
      <c r="ET9" t="e">
        <f>AND(#REF!,"AAAAAH///5U=")</f>
        <v>#REF!</v>
      </c>
      <c r="EU9" t="e">
        <f>AND(#REF!,"AAAAAH///5Y=")</f>
        <v>#REF!</v>
      </c>
      <c r="EV9" t="e">
        <f>AND(#REF!,"AAAAAH///5c=")</f>
        <v>#REF!</v>
      </c>
      <c r="EW9" t="e">
        <f>AND(#REF!,"AAAAAH///5g=")</f>
        <v>#REF!</v>
      </c>
      <c r="EX9" t="e">
        <f>AND(#REF!,"AAAAAH///5k=")</f>
        <v>#REF!</v>
      </c>
      <c r="EY9" t="e">
        <f>AND(#REF!,"AAAAAH///5o=")</f>
        <v>#REF!</v>
      </c>
      <c r="EZ9" t="e">
        <f>AND(#REF!,"AAAAAH///5s=")</f>
        <v>#REF!</v>
      </c>
      <c r="FA9" t="e">
        <f>AND(#REF!,"AAAAAH///5w=")</f>
        <v>#REF!</v>
      </c>
      <c r="FB9" t="e">
        <f>AND(#REF!,"AAAAAH///50=")</f>
        <v>#REF!</v>
      </c>
      <c r="FC9" t="e">
        <f>AND(#REF!,"AAAAAH///54=")</f>
        <v>#REF!</v>
      </c>
      <c r="FD9" t="e">
        <f>IF(#REF!,"AAAAAH///58=",0)</f>
        <v>#REF!</v>
      </c>
      <c r="FE9" t="e">
        <f>AND(#REF!,"AAAAAH///6A=")</f>
        <v>#REF!</v>
      </c>
      <c r="FF9" t="e">
        <f>AND(#REF!,"AAAAAH///6E=")</f>
        <v>#REF!</v>
      </c>
      <c r="FG9" t="e">
        <f>AND(#REF!,"AAAAAH///6I=")</f>
        <v>#REF!</v>
      </c>
      <c r="FH9" t="e">
        <f>AND(#REF!,"AAAAAH///6M=")</f>
        <v>#REF!</v>
      </c>
      <c r="FI9" t="e">
        <f>AND(#REF!,"AAAAAH///6Q=")</f>
        <v>#REF!</v>
      </c>
      <c r="FJ9" t="e">
        <f>AND(#REF!,"AAAAAH///6U=")</f>
        <v>#REF!</v>
      </c>
      <c r="FK9" t="e">
        <f>AND(#REF!,"AAAAAH///6Y=")</f>
        <v>#REF!</v>
      </c>
      <c r="FL9" t="e">
        <f>AND(#REF!,"AAAAAH///6c=")</f>
        <v>#REF!</v>
      </c>
      <c r="FM9" t="e">
        <f>AND(#REF!,"AAAAAH///6g=")</f>
        <v>#REF!</v>
      </c>
      <c r="FN9" t="e">
        <f>AND(#REF!,"AAAAAH///6k=")</f>
        <v>#REF!</v>
      </c>
      <c r="FO9" t="e">
        <f>AND(#REF!,"AAAAAH///6o=")</f>
        <v>#REF!</v>
      </c>
      <c r="FP9" t="e">
        <f>AND(#REF!,"AAAAAH///6s=")</f>
        <v>#REF!</v>
      </c>
      <c r="FQ9" t="e">
        <f>AND(#REF!,"AAAAAH///6w=")</f>
        <v>#REF!</v>
      </c>
      <c r="FR9" t="e">
        <f>AND(#REF!,"AAAAAH///60=")</f>
        <v>#REF!</v>
      </c>
      <c r="FS9" t="e">
        <f>AND(#REF!,"AAAAAH///64=")</f>
        <v>#REF!</v>
      </c>
      <c r="FT9" t="e">
        <f>AND(#REF!,"AAAAAH///68=")</f>
        <v>#REF!</v>
      </c>
      <c r="FU9" t="e">
        <f>AND(#REF!,"AAAAAH///7A=")</f>
        <v>#REF!</v>
      </c>
      <c r="FV9" t="e">
        <f>AND(#REF!,"AAAAAH///7E=")</f>
        <v>#REF!</v>
      </c>
      <c r="FW9" t="e">
        <f>AND(#REF!,"AAAAAH///7I=")</f>
        <v>#REF!</v>
      </c>
      <c r="FX9" t="e">
        <f>AND(#REF!,"AAAAAH///7M=")</f>
        <v>#REF!</v>
      </c>
      <c r="FY9" t="e">
        <f>AND(#REF!,"AAAAAH///7Q=")</f>
        <v>#REF!</v>
      </c>
      <c r="FZ9" t="e">
        <f>AND(#REF!,"AAAAAH///7U=")</f>
        <v>#REF!</v>
      </c>
      <c r="GA9" t="e">
        <f>AND(#REF!,"AAAAAH///7Y=")</f>
        <v>#REF!</v>
      </c>
      <c r="GB9" t="e">
        <f>AND(#REF!,"AAAAAH///7c=")</f>
        <v>#REF!</v>
      </c>
      <c r="GC9" t="e">
        <f>IF(#REF!,"AAAAAH///7g=",0)</f>
        <v>#REF!</v>
      </c>
      <c r="GD9" t="e">
        <f>AND(#REF!,"AAAAAH///7k=")</f>
        <v>#REF!</v>
      </c>
      <c r="GE9" t="e">
        <f>AND(#REF!,"AAAAAH///7o=")</f>
        <v>#REF!</v>
      </c>
      <c r="GF9" t="e">
        <f>AND(#REF!,"AAAAAH///7s=")</f>
        <v>#REF!</v>
      </c>
      <c r="GG9" t="e">
        <f>AND(#REF!,"AAAAAH///7w=")</f>
        <v>#REF!</v>
      </c>
      <c r="GH9" t="e">
        <f>AND(#REF!,"AAAAAH///70=")</f>
        <v>#REF!</v>
      </c>
      <c r="GI9" t="e">
        <f>AND(#REF!,"AAAAAH///74=")</f>
        <v>#REF!</v>
      </c>
      <c r="GJ9" t="e">
        <f>AND(#REF!,"AAAAAH///78=")</f>
        <v>#REF!</v>
      </c>
      <c r="GK9" t="e">
        <f>AND(#REF!,"AAAAAH///8A=")</f>
        <v>#REF!</v>
      </c>
      <c r="GL9" t="e">
        <f>AND(#REF!,"AAAAAH///8E=")</f>
        <v>#REF!</v>
      </c>
      <c r="GM9" t="e">
        <f>AND(#REF!,"AAAAAH///8I=")</f>
        <v>#REF!</v>
      </c>
      <c r="GN9" t="e">
        <f>AND(#REF!,"AAAAAH///8M=")</f>
        <v>#REF!</v>
      </c>
      <c r="GO9" t="e">
        <f>AND(#REF!,"AAAAAH///8Q=")</f>
        <v>#REF!</v>
      </c>
      <c r="GP9" t="e">
        <f>AND(#REF!,"AAAAAH///8U=")</f>
        <v>#REF!</v>
      </c>
      <c r="GQ9" t="e">
        <f>AND(#REF!,"AAAAAH///8Y=")</f>
        <v>#REF!</v>
      </c>
      <c r="GR9" t="e">
        <f>AND(#REF!,"AAAAAH///8c=")</f>
        <v>#REF!</v>
      </c>
      <c r="GS9" t="e">
        <f>AND(#REF!,"AAAAAH///8g=")</f>
        <v>#REF!</v>
      </c>
      <c r="GT9" t="e">
        <f>AND(#REF!,"AAAAAH///8k=")</f>
        <v>#REF!</v>
      </c>
      <c r="GU9" t="e">
        <f>AND(#REF!,"AAAAAH///8o=")</f>
        <v>#REF!</v>
      </c>
      <c r="GV9" t="e">
        <f>AND(#REF!,"AAAAAH///8s=")</f>
        <v>#REF!</v>
      </c>
      <c r="GW9" t="e">
        <f>AND(#REF!,"AAAAAH///8w=")</f>
        <v>#REF!</v>
      </c>
      <c r="GX9" t="e">
        <f>AND(#REF!,"AAAAAH///80=")</f>
        <v>#REF!</v>
      </c>
      <c r="GY9" t="e">
        <f>AND(#REF!,"AAAAAH///84=")</f>
        <v>#REF!</v>
      </c>
      <c r="GZ9" t="e">
        <f>AND(#REF!,"AAAAAH///88=")</f>
        <v>#REF!</v>
      </c>
      <c r="HA9" t="e">
        <f>AND(#REF!,"AAAAAH///9A=")</f>
        <v>#REF!</v>
      </c>
      <c r="HB9" t="e">
        <f>IF(#REF!,"AAAAAH///9E=",0)</f>
        <v>#REF!</v>
      </c>
      <c r="HC9" t="e">
        <f>AND(#REF!,"AAAAAH///9I=")</f>
        <v>#REF!</v>
      </c>
      <c r="HD9" t="e">
        <f>AND(#REF!,"AAAAAH///9M=")</f>
        <v>#REF!</v>
      </c>
      <c r="HE9" t="e">
        <f>AND(#REF!,"AAAAAH///9Q=")</f>
        <v>#REF!</v>
      </c>
      <c r="HF9" t="e">
        <f>AND(#REF!,"AAAAAH///9U=")</f>
        <v>#REF!</v>
      </c>
      <c r="HG9" t="e">
        <f>AND(#REF!,"AAAAAH///9Y=")</f>
        <v>#REF!</v>
      </c>
      <c r="HH9" t="e">
        <f>AND(#REF!,"AAAAAH///9c=")</f>
        <v>#REF!</v>
      </c>
      <c r="HI9" t="e">
        <f>AND(#REF!,"AAAAAH///9g=")</f>
        <v>#REF!</v>
      </c>
      <c r="HJ9" t="e">
        <f>AND(#REF!,"AAAAAH///9k=")</f>
        <v>#REF!</v>
      </c>
      <c r="HK9" t="e">
        <f>AND(#REF!,"AAAAAH///9o=")</f>
        <v>#REF!</v>
      </c>
      <c r="HL9" t="e">
        <f>AND(#REF!,"AAAAAH///9s=")</f>
        <v>#REF!</v>
      </c>
      <c r="HM9" t="e">
        <f>AND(#REF!,"AAAAAH///9w=")</f>
        <v>#REF!</v>
      </c>
      <c r="HN9" t="e">
        <f>AND(#REF!,"AAAAAH///90=")</f>
        <v>#REF!</v>
      </c>
      <c r="HO9" t="e">
        <f>AND(#REF!,"AAAAAH///94=")</f>
        <v>#REF!</v>
      </c>
      <c r="HP9" t="e">
        <f>AND(#REF!,"AAAAAH///98=")</f>
        <v>#REF!</v>
      </c>
      <c r="HQ9" t="e">
        <f>AND(#REF!,"AAAAAH///+A=")</f>
        <v>#REF!</v>
      </c>
      <c r="HR9" t="e">
        <f>AND(#REF!,"AAAAAH///+E=")</f>
        <v>#REF!</v>
      </c>
      <c r="HS9" t="e">
        <f>AND(#REF!,"AAAAAH///+I=")</f>
        <v>#REF!</v>
      </c>
      <c r="HT9" t="e">
        <f>AND(#REF!,"AAAAAH///+M=")</f>
        <v>#REF!</v>
      </c>
      <c r="HU9" t="e">
        <f>AND(#REF!,"AAAAAH///+Q=")</f>
        <v>#REF!</v>
      </c>
      <c r="HV9" t="e">
        <f>AND(#REF!,"AAAAAH///+U=")</f>
        <v>#REF!</v>
      </c>
      <c r="HW9" t="e">
        <f>AND(#REF!,"AAAAAH///+Y=")</f>
        <v>#REF!</v>
      </c>
      <c r="HX9" t="e">
        <f>AND(#REF!,"AAAAAH///+c=")</f>
        <v>#REF!</v>
      </c>
      <c r="HY9" t="e">
        <f>AND(#REF!,"AAAAAH///+g=")</f>
        <v>#REF!</v>
      </c>
      <c r="HZ9" t="e">
        <f>AND(#REF!,"AAAAAH///+k=")</f>
        <v>#REF!</v>
      </c>
      <c r="IA9" t="e">
        <f>IF(#REF!,"AAAAAH///+o=",0)</f>
        <v>#REF!</v>
      </c>
      <c r="IB9" t="e">
        <f>AND(#REF!,"AAAAAH///+s=")</f>
        <v>#REF!</v>
      </c>
      <c r="IC9" t="e">
        <f>AND(#REF!,"AAAAAH///+w=")</f>
        <v>#REF!</v>
      </c>
      <c r="ID9" t="e">
        <f>AND(#REF!,"AAAAAH///+0=")</f>
        <v>#REF!</v>
      </c>
      <c r="IE9" t="e">
        <f>AND(#REF!,"AAAAAH///+4=")</f>
        <v>#REF!</v>
      </c>
      <c r="IF9" t="e">
        <f>AND(#REF!,"AAAAAH///+8=")</f>
        <v>#REF!</v>
      </c>
      <c r="IG9" t="e">
        <f>AND(#REF!,"AAAAAH////A=")</f>
        <v>#REF!</v>
      </c>
      <c r="IH9" t="e">
        <f>AND(#REF!,"AAAAAH////E=")</f>
        <v>#REF!</v>
      </c>
      <c r="II9" t="e">
        <f>AND(#REF!,"AAAAAH////I=")</f>
        <v>#REF!</v>
      </c>
      <c r="IJ9" t="e">
        <f>AND(#REF!,"AAAAAH////M=")</f>
        <v>#REF!</v>
      </c>
      <c r="IK9" t="e">
        <f>AND(#REF!,"AAAAAH////Q=")</f>
        <v>#REF!</v>
      </c>
      <c r="IL9" t="e">
        <f>AND(#REF!,"AAAAAH////U=")</f>
        <v>#REF!</v>
      </c>
      <c r="IM9" t="e">
        <f>AND(#REF!,"AAAAAH////Y=")</f>
        <v>#REF!</v>
      </c>
      <c r="IN9" t="e">
        <f>AND(#REF!,"AAAAAH////c=")</f>
        <v>#REF!</v>
      </c>
      <c r="IO9" t="e">
        <f>AND(#REF!,"AAAAAH////g=")</f>
        <v>#REF!</v>
      </c>
      <c r="IP9" t="e">
        <f>AND(#REF!,"AAAAAH////k=")</f>
        <v>#REF!</v>
      </c>
      <c r="IQ9" t="e">
        <f>AND(#REF!,"AAAAAH////o=")</f>
        <v>#REF!</v>
      </c>
      <c r="IR9" t="e">
        <f>AND(#REF!,"AAAAAH////s=")</f>
        <v>#REF!</v>
      </c>
      <c r="IS9" t="e">
        <f>AND(#REF!,"AAAAAH////w=")</f>
        <v>#REF!</v>
      </c>
      <c r="IT9" t="e">
        <f>AND(#REF!,"AAAAAH////0=")</f>
        <v>#REF!</v>
      </c>
      <c r="IU9" t="e">
        <f>AND(#REF!,"AAAAAH////4=")</f>
        <v>#REF!</v>
      </c>
      <c r="IV9" t="e">
        <f>AND(#REF!,"AAAAAH////8=")</f>
        <v>#REF!</v>
      </c>
    </row>
    <row r="10" spans="1:256" x14ac:dyDescent="0.2">
      <c r="A10" t="e">
        <f>AND(#REF!,"AAAAAG+7LwA=")</f>
        <v>#REF!</v>
      </c>
      <c r="B10" t="e">
        <f>AND(#REF!,"AAAAAG+7LwE=")</f>
        <v>#REF!</v>
      </c>
      <c r="C10" t="e">
        <f>AND(#REF!,"AAAAAG+7LwI=")</f>
        <v>#REF!</v>
      </c>
      <c r="D10" t="e">
        <f>IF(#REF!,"AAAAAG+7LwM=",0)</f>
        <v>#REF!</v>
      </c>
      <c r="E10" t="e">
        <f>AND(#REF!,"AAAAAG+7LwQ=")</f>
        <v>#REF!</v>
      </c>
      <c r="F10" t="e">
        <f>AND(#REF!,"AAAAAG+7LwU=")</f>
        <v>#REF!</v>
      </c>
      <c r="G10" t="e">
        <f>AND(#REF!,"AAAAAG+7LwY=")</f>
        <v>#REF!</v>
      </c>
      <c r="H10" t="e">
        <f>AND(#REF!,"AAAAAG+7Lwc=")</f>
        <v>#REF!</v>
      </c>
      <c r="I10" t="e">
        <f>AND(#REF!,"AAAAAG+7Lwg=")</f>
        <v>#REF!</v>
      </c>
      <c r="J10" t="e">
        <f>AND(#REF!,"AAAAAG+7Lwk=")</f>
        <v>#REF!</v>
      </c>
      <c r="K10" t="e">
        <f>AND(#REF!,"AAAAAG+7Lwo=")</f>
        <v>#REF!</v>
      </c>
      <c r="L10" t="e">
        <f>AND(#REF!,"AAAAAG+7Lws=")</f>
        <v>#REF!</v>
      </c>
      <c r="M10" t="e">
        <f>AND(#REF!,"AAAAAG+7Lww=")</f>
        <v>#REF!</v>
      </c>
      <c r="N10" t="e">
        <f>AND(#REF!,"AAAAAG+7Lw0=")</f>
        <v>#REF!</v>
      </c>
      <c r="O10" t="e">
        <f>AND(#REF!,"AAAAAG+7Lw4=")</f>
        <v>#REF!</v>
      </c>
      <c r="P10" t="e">
        <f>AND(#REF!,"AAAAAG+7Lw8=")</f>
        <v>#REF!</v>
      </c>
      <c r="Q10" t="e">
        <f>AND(#REF!,"AAAAAG+7LxA=")</f>
        <v>#REF!</v>
      </c>
      <c r="R10" t="e">
        <f>AND(#REF!,"AAAAAG+7LxE=")</f>
        <v>#REF!</v>
      </c>
      <c r="S10" t="e">
        <f>AND(#REF!,"AAAAAG+7LxI=")</f>
        <v>#REF!</v>
      </c>
      <c r="T10" t="e">
        <f>AND(#REF!,"AAAAAG+7LxM=")</f>
        <v>#REF!</v>
      </c>
      <c r="U10" t="e">
        <f>AND(#REF!,"AAAAAG+7LxQ=")</f>
        <v>#REF!</v>
      </c>
      <c r="V10" t="e">
        <f>AND(#REF!,"AAAAAG+7LxU=")</f>
        <v>#REF!</v>
      </c>
      <c r="W10" t="e">
        <f>AND(#REF!,"AAAAAG+7LxY=")</f>
        <v>#REF!</v>
      </c>
      <c r="X10" t="e">
        <f>AND(#REF!,"AAAAAG+7Lxc=")</f>
        <v>#REF!</v>
      </c>
      <c r="Y10" t="e">
        <f>AND(#REF!,"AAAAAG+7Lxg=")</f>
        <v>#REF!</v>
      </c>
      <c r="Z10" t="e">
        <f>AND(#REF!,"AAAAAG+7Lxk=")</f>
        <v>#REF!</v>
      </c>
      <c r="AA10" t="e">
        <f>AND(#REF!,"AAAAAG+7Lxo=")</f>
        <v>#REF!</v>
      </c>
      <c r="AB10" t="e">
        <f>AND(#REF!,"AAAAAG+7Lxs=")</f>
        <v>#REF!</v>
      </c>
      <c r="AC10" t="e">
        <f>IF(#REF!,"AAAAAG+7Lxw=",0)</f>
        <v>#REF!</v>
      </c>
      <c r="AD10" t="e">
        <f>IF(#REF!,"AAAAAG+7Lx0=",0)</f>
        <v>#REF!</v>
      </c>
      <c r="AE10" t="e">
        <f>IF(#REF!,"AAAAAG+7Lx4=",0)</f>
        <v>#REF!</v>
      </c>
      <c r="AF10" t="e">
        <f>IF(#REF!,"AAAAAG+7Lx8=",0)</f>
        <v>#REF!</v>
      </c>
      <c r="AG10" t="e">
        <f>IF(#REF!,"AAAAAG+7LyA=",0)</f>
        <v>#REF!</v>
      </c>
      <c r="AH10" t="e">
        <f>IF(#REF!,"AAAAAG+7LyE=",0)</f>
        <v>#REF!</v>
      </c>
      <c r="AI10" t="e">
        <f>IF(#REF!,"AAAAAG+7LyI=",0)</f>
        <v>#REF!</v>
      </c>
      <c r="AJ10" t="e">
        <f>IF(#REF!,"AAAAAG+7LyM=",0)</f>
        <v>#REF!</v>
      </c>
      <c r="AK10" t="e">
        <f>IF(#REF!,"AAAAAG+7LyQ=",0)</f>
        <v>#REF!</v>
      </c>
      <c r="AL10" t="e">
        <f>IF(#REF!,"AAAAAG+7LyU=",0)</f>
        <v>#REF!</v>
      </c>
      <c r="AM10" t="e">
        <f>IF(#REF!,"AAAAAG+7LyY=",0)</f>
        <v>#REF!</v>
      </c>
      <c r="AN10" t="e">
        <f>IF(#REF!,"AAAAAG+7Lyc=",0)</f>
        <v>#REF!</v>
      </c>
      <c r="AO10" t="e">
        <f>IF(#REF!,"AAAAAG+7Lyg=",0)</f>
        <v>#REF!</v>
      </c>
      <c r="AP10" t="e">
        <f>IF(#REF!,"AAAAAG+7Lyk=",0)</f>
        <v>#REF!</v>
      </c>
      <c r="AQ10" t="e">
        <f>IF(#REF!,"AAAAAG+7Lyo=",0)</f>
        <v>#REF!</v>
      </c>
      <c r="AR10" t="e">
        <f>IF(#REF!,"AAAAAG+7Lys=",0)</f>
        <v>#REF!</v>
      </c>
      <c r="AS10" t="e">
        <f>IF(#REF!,"AAAAAG+7Lyw=",0)</f>
        <v>#REF!</v>
      </c>
      <c r="AT10" t="e">
        <f>IF(#REF!,"AAAAAG+7Ly0=",0)</f>
        <v>#REF!</v>
      </c>
      <c r="AU10" t="e">
        <f>IF(#REF!,"AAAAAG+7Ly4=",0)</f>
        <v>#REF!</v>
      </c>
      <c r="AV10" t="e">
        <f>IF(#REF!,"AAAAAG+7Ly8=",0)</f>
        <v>#REF!</v>
      </c>
      <c r="AW10" t="e">
        <f>IF(#REF!,"AAAAAG+7LzA=",0)</f>
        <v>#REF!</v>
      </c>
      <c r="AX10" t="e">
        <f>IF(#REF!,"AAAAAG+7LzE=",0)</f>
        <v>#REF!</v>
      </c>
      <c r="AY10" t="e">
        <f>IF(#REF!,"AAAAAG+7LzI=",0)</f>
        <v>#REF!</v>
      </c>
      <c r="AZ10" t="e">
        <f>IF(#REF!,"AAAAAG+7LzM=",0)</f>
        <v>#REF!</v>
      </c>
      <c r="BA10" t="e">
        <f>IF(#REF!,"AAAAAG+7LzQ=",0)</f>
        <v>#REF!</v>
      </c>
      <c r="BB10" t="e">
        <f>AND(#REF!,"AAAAAG+7LzU=")</f>
        <v>#REF!</v>
      </c>
      <c r="BC10" t="e">
        <f>AND(#REF!,"AAAAAG+7LzY=")</f>
        <v>#REF!</v>
      </c>
      <c r="BD10" t="e">
        <f>AND(#REF!,"AAAAAG+7Lzc=")</f>
        <v>#REF!</v>
      </c>
      <c r="BE10" t="e">
        <f>AND(#REF!,"AAAAAG+7Lzg=")</f>
        <v>#REF!</v>
      </c>
      <c r="BF10" t="e">
        <f>AND(#REF!,"AAAAAG+7Lzk=")</f>
        <v>#REF!</v>
      </c>
      <c r="BG10" t="e">
        <f>AND(#REF!,"AAAAAG+7Lzo=")</f>
        <v>#REF!</v>
      </c>
      <c r="BH10" t="e">
        <f>AND(#REF!,"AAAAAG+7Lzs=")</f>
        <v>#REF!</v>
      </c>
      <c r="BI10" t="e">
        <f>AND(#REF!,"AAAAAG+7Lzw=")</f>
        <v>#REF!</v>
      </c>
      <c r="BJ10" t="e">
        <f>AND(#REF!,"AAAAAG+7Lz0=")</f>
        <v>#REF!</v>
      </c>
      <c r="BK10" t="e">
        <f>AND(#REF!,"AAAAAG+7Lz4=")</f>
        <v>#REF!</v>
      </c>
      <c r="BL10" t="e">
        <f>AND(#REF!,"AAAAAG+7Lz8=")</f>
        <v>#REF!</v>
      </c>
      <c r="BM10" t="e">
        <f>AND(#REF!,"AAAAAG+7L0A=")</f>
        <v>#REF!</v>
      </c>
      <c r="BN10" t="e">
        <f>AND(#REF!,"AAAAAG+7L0E=")</f>
        <v>#REF!</v>
      </c>
      <c r="BO10" t="e">
        <f>AND(#REF!,"AAAAAG+7L0I=")</f>
        <v>#REF!</v>
      </c>
      <c r="BP10" t="e">
        <f>IF(#REF!,"AAAAAG+7L0M=",0)</f>
        <v>#REF!</v>
      </c>
      <c r="BQ10" t="e">
        <f>AND(#REF!,"AAAAAG+7L0Q=")</f>
        <v>#REF!</v>
      </c>
      <c r="BR10" t="e">
        <f>AND(#REF!,"AAAAAG+7L0U=")</f>
        <v>#REF!</v>
      </c>
      <c r="BS10" t="e">
        <f>AND(#REF!,"AAAAAG+7L0Y=")</f>
        <v>#REF!</v>
      </c>
      <c r="BT10" t="e">
        <f>AND(#REF!,"AAAAAG+7L0c=")</f>
        <v>#REF!</v>
      </c>
      <c r="BU10" t="e">
        <f>AND(#REF!,"AAAAAG+7L0g=")</f>
        <v>#REF!</v>
      </c>
      <c r="BV10" t="e">
        <f>AND(#REF!,"AAAAAG+7L0k=")</f>
        <v>#REF!</v>
      </c>
      <c r="BW10" t="e">
        <f>AND(#REF!,"AAAAAG+7L0o=")</f>
        <v>#REF!</v>
      </c>
      <c r="BX10" t="e">
        <f>AND(#REF!,"AAAAAG+7L0s=")</f>
        <v>#REF!</v>
      </c>
      <c r="BY10" t="e">
        <f>AND(#REF!,"AAAAAG+7L0w=")</f>
        <v>#REF!</v>
      </c>
      <c r="BZ10" t="e">
        <f>AND(#REF!,"AAAAAG+7L00=")</f>
        <v>#REF!</v>
      </c>
      <c r="CA10" t="e">
        <f>AND(#REF!,"AAAAAG+7L04=")</f>
        <v>#REF!</v>
      </c>
      <c r="CB10" t="e">
        <f>AND(#REF!,"AAAAAG+7L08=")</f>
        <v>#REF!</v>
      </c>
      <c r="CC10" t="e">
        <f>AND(#REF!,"AAAAAG+7L1A=")</f>
        <v>#REF!</v>
      </c>
      <c r="CD10" t="e">
        <f>AND(#REF!,"AAAAAG+7L1E=")</f>
        <v>#REF!</v>
      </c>
      <c r="CE10" t="e">
        <f>IF(#REF!,"AAAAAG+7L1I=",0)</f>
        <v>#REF!</v>
      </c>
      <c r="CF10" t="e">
        <f>AND(#REF!,"AAAAAG+7L1M=")</f>
        <v>#REF!</v>
      </c>
      <c r="CG10" t="e">
        <f>AND(#REF!,"AAAAAG+7L1Q=")</f>
        <v>#REF!</v>
      </c>
      <c r="CH10" t="e">
        <f>AND(#REF!,"AAAAAG+7L1U=")</f>
        <v>#REF!</v>
      </c>
      <c r="CI10" t="e">
        <f>AND(#REF!,"AAAAAG+7L1Y=")</f>
        <v>#REF!</v>
      </c>
      <c r="CJ10" t="e">
        <f>AND(#REF!,"AAAAAG+7L1c=")</f>
        <v>#REF!</v>
      </c>
      <c r="CK10" t="e">
        <f>AND(#REF!,"AAAAAG+7L1g=")</f>
        <v>#REF!</v>
      </c>
      <c r="CL10" t="e">
        <f>AND(#REF!,"AAAAAG+7L1k=")</f>
        <v>#REF!</v>
      </c>
      <c r="CM10" t="e">
        <f>AND(#REF!,"AAAAAG+7L1o=")</f>
        <v>#REF!</v>
      </c>
      <c r="CN10" t="e">
        <f>AND(#REF!,"AAAAAG+7L1s=")</f>
        <v>#REF!</v>
      </c>
      <c r="CO10" t="e">
        <f>AND(#REF!,"AAAAAG+7L1w=")</f>
        <v>#REF!</v>
      </c>
      <c r="CP10" t="e">
        <f>AND(#REF!,"AAAAAG+7L10=")</f>
        <v>#REF!</v>
      </c>
      <c r="CQ10" t="e">
        <f>AND(#REF!,"AAAAAG+7L14=")</f>
        <v>#REF!</v>
      </c>
      <c r="CR10" t="e">
        <f>AND(#REF!,"AAAAAG+7L18=")</f>
        <v>#REF!</v>
      </c>
      <c r="CS10" t="e">
        <f>AND(#REF!,"AAAAAG+7L2A=")</f>
        <v>#REF!</v>
      </c>
      <c r="CT10" t="e">
        <f>IF(#REF!,"AAAAAG+7L2E=",0)</f>
        <v>#REF!</v>
      </c>
      <c r="CU10" t="e">
        <f>AND(#REF!,"AAAAAG+7L2I=")</f>
        <v>#REF!</v>
      </c>
      <c r="CV10" t="e">
        <f>AND(#REF!,"AAAAAG+7L2M=")</f>
        <v>#REF!</v>
      </c>
      <c r="CW10" t="e">
        <f>AND(#REF!,"AAAAAG+7L2Q=")</f>
        <v>#REF!</v>
      </c>
      <c r="CX10" t="e">
        <f>AND(#REF!,"AAAAAG+7L2U=")</f>
        <v>#REF!</v>
      </c>
      <c r="CY10" t="e">
        <f>AND(#REF!,"AAAAAG+7L2Y=")</f>
        <v>#REF!</v>
      </c>
      <c r="CZ10" t="e">
        <f>AND(#REF!,"AAAAAG+7L2c=")</f>
        <v>#REF!</v>
      </c>
      <c r="DA10" t="e">
        <f>AND(#REF!,"AAAAAG+7L2g=")</f>
        <v>#REF!</v>
      </c>
      <c r="DB10" t="e">
        <f>AND(#REF!,"AAAAAG+7L2k=")</f>
        <v>#REF!</v>
      </c>
      <c r="DC10" t="e">
        <f>AND(#REF!,"AAAAAG+7L2o=")</f>
        <v>#REF!</v>
      </c>
      <c r="DD10" t="e">
        <f>AND(#REF!,"AAAAAG+7L2s=")</f>
        <v>#REF!</v>
      </c>
      <c r="DE10" t="e">
        <f>AND(#REF!,"AAAAAG+7L2w=")</f>
        <v>#REF!</v>
      </c>
      <c r="DF10" t="e">
        <f>AND(#REF!,"AAAAAG+7L20=")</f>
        <v>#REF!</v>
      </c>
      <c r="DG10" t="e">
        <f>AND(#REF!,"AAAAAG+7L24=")</f>
        <v>#REF!</v>
      </c>
      <c r="DH10" t="e">
        <f>AND(#REF!,"AAAAAG+7L28=")</f>
        <v>#REF!</v>
      </c>
      <c r="DI10" t="e">
        <f>IF(#REF!,"AAAAAG+7L3A=",0)</f>
        <v>#REF!</v>
      </c>
      <c r="DJ10" t="e">
        <f>AND(#REF!,"AAAAAG+7L3E=")</f>
        <v>#REF!</v>
      </c>
      <c r="DK10" t="e">
        <f>AND(#REF!,"AAAAAG+7L3I=")</f>
        <v>#REF!</v>
      </c>
      <c r="DL10" t="e">
        <f>AND(#REF!,"AAAAAG+7L3M=")</f>
        <v>#REF!</v>
      </c>
      <c r="DM10" t="e">
        <f>AND(#REF!,"AAAAAG+7L3Q=")</f>
        <v>#REF!</v>
      </c>
      <c r="DN10" t="e">
        <f>AND(#REF!,"AAAAAG+7L3U=")</f>
        <v>#REF!</v>
      </c>
      <c r="DO10" t="e">
        <f>AND(#REF!,"AAAAAG+7L3Y=")</f>
        <v>#REF!</v>
      </c>
      <c r="DP10" t="e">
        <f>AND(#REF!,"AAAAAG+7L3c=")</f>
        <v>#REF!</v>
      </c>
      <c r="DQ10" t="e">
        <f>AND(#REF!,"AAAAAG+7L3g=")</f>
        <v>#REF!</v>
      </c>
      <c r="DR10" t="e">
        <f>AND(#REF!,"AAAAAG+7L3k=")</f>
        <v>#REF!</v>
      </c>
      <c r="DS10" t="e">
        <f>AND(#REF!,"AAAAAG+7L3o=")</f>
        <v>#REF!</v>
      </c>
      <c r="DT10" t="e">
        <f>AND(#REF!,"AAAAAG+7L3s=")</f>
        <v>#REF!</v>
      </c>
      <c r="DU10" t="e">
        <f>AND(#REF!,"AAAAAG+7L3w=")</f>
        <v>#REF!</v>
      </c>
      <c r="DV10" t="e">
        <f>AND(#REF!,"AAAAAG+7L30=")</f>
        <v>#REF!</v>
      </c>
      <c r="DW10" t="e">
        <f>AND(#REF!,"AAAAAG+7L34=")</f>
        <v>#REF!</v>
      </c>
      <c r="DX10" t="e">
        <f>IF(#REF!,"AAAAAG+7L38=",0)</f>
        <v>#REF!</v>
      </c>
      <c r="DY10" t="e">
        <f>AND(#REF!,"AAAAAG+7L4A=")</f>
        <v>#REF!</v>
      </c>
      <c r="DZ10" t="e">
        <f>AND(#REF!,"AAAAAG+7L4E=")</f>
        <v>#REF!</v>
      </c>
      <c r="EA10" t="e">
        <f>AND(#REF!,"AAAAAG+7L4I=")</f>
        <v>#REF!</v>
      </c>
      <c r="EB10" t="e">
        <f>AND(#REF!,"AAAAAG+7L4M=")</f>
        <v>#REF!</v>
      </c>
      <c r="EC10" t="e">
        <f>AND(#REF!,"AAAAAG+7L4Q=")</f>
        <v>#REF!</v>
      </c>
      <c r="ED10" t="e">
        <f>AND(#REF!,"AAAAAG+7L4U=")</f>
        <v>#REF!</v>
      </c>
      <c r="EE10" t="e">
        <f>AND(#REF!,"AAAAAG+7L4Y=")</f>
        <v>#REF!</v>
      </c>
      <c r="EF10" t="e">
        <f>AND(#REF!,"AAAAAG+7L4c=")</f>
        <v>#REF!</v>
      </c>
      <c r="EG10" t="e">
        <f>AND(#REF!,"AAAAAG+7L4g=")</f>
        <v>#REF!</v>
      </c>
      <c r="EH10" t="e">
        <f>AND(#REF!,"AAAAAG+7L4k=")</f>
        <v>#REF!</v>
      </c>
      <c r="EI10" t="e">
        <f>AND(#REF!,"AAAAAG+7L4o=")</f>
        <v>#REF!</v>
      </c>
      <c r="EJ10" t="e">
        <f>AND(#REF!,"AAAAAG+7L4s=")</f>
        <v>#REF!</v>
      </c>
      <c r="EK10" t="e">
        <f>AND(#REF!,"AAAAAG+7L4w=")</f>
        <v>#REF!</v>
      </c>
      <c r="EL10" t="e">
        <f>AND(#REF!,"AAAAAG+7L40=")</f>
        <v>#REF!</v>
      </c>
      <c r="EM10" t="e">
        <f>IF(#REF!,"AAAAAG+7L44=",0)</f>
        <v>#REF!</v>
      </c>
      <c r="EN10" t="e">
        <f>AND(#REF!,"AAAAAG+7L48=")</f>
        <v>#REF!</v>
      </c>
      <c r="EO10" t="e">
        <f>AND(#REF!,"AAAAAG+7L5A=")</f>
        <v>#REF!</v>
      </c>
      <c r="EP10" t="e">
        <f>AND(#REF!,"AAAAAG+7L5E=")</f>
        <v>#REF!</v>
      </c>
      <c r="EQ10" t="e">
        <f>AND(#REF!,"AAAAAG+7L5I=")</f>
        <v>#REF!</v>
      </c>
      <c r="ER10" t="e">
        <f>AND(#REF!,"AAAAAG+7L5M=")</f>
        <v>#REF!</v>
      </c>
      <c r="ES10" t="e">
        <f>AND(#REF!,"AAAAAG+7L5Q=")</f>
        <v>#REF!</v>
      </c>
      <c r="ET10" t="e">
        <f>AND(#REF!,"AAAAAG+7L5U=")</f>
        <v>#REF!</v>
      </c>
      <c r="EU10" t="e">
        <f>AND(#REF!,"AAAAAG+7L5Y=")</f>
        <v>#REF!</v>
      </c>
      <c r="EV10" t="e">
        <f>AND(#REF!,"AAAAAG+7L5c=")</f>
        <v>#REF!</v>
      </c>
      <c r="EW10" t="e">
        <f>AND(#REF!,"AAAAAG+7L5g=")</f>
        <v>#REF!</v>
      </c>
      <c r="EX10" t="e">
        <f>AND(#REF!,"AAAAAG+7L5k=")</f>
        <v>#REF!</v>
      </c>
      <c r="EY10" t="e">
        <f>AND(#REF!,"AAAAAG+7L5o=")</f>
        <v>#REF!</v>
      </c>
      <c r="EZ10" t="e">
        <f>AND(#REF!,"AAAAAG+7L5s=")</f>
        <v>#REF!</v>
      </c>
      <c r="FA10" t="e">
        <f>AND(#REF!,"AAAAAG+7L5w=")</f>
        <v>#REF!</v>
      </c>
      <c r="FB10" t="e">
        <f>IF(#REF!,"AAAAAG+7L50=",0)</f>
        <v>#REF!</v>
      </c>
      <c r="FC10" t="e">
        <f>AND(#REF!,"AAAAAG+7L54=")</f>
        <v>#REF!</v>
      </c>
      <c r="FD10" t="e">
        <f>AND(#REF!,"AAAAAG+7L58=")</f>
        <v>#REF!</v>
      </c>
      <c r="FE10" t="e">
        <f>AND(#REF!,"AAAAAG+7L6A=")</f>
        <v>#REF!</v>
      </c>
      <c r="FF10" t="e">
        <f>AND(#REF!,"AAAAAG+7L6E=")</f>
        <v>#REF!</v>
      </c>
      <c r="FG10" t="e">
        <f>AND(#REF!,"AAAAAG+7L6I=")</f>
        <v>#REF!</v>
      </c>
      <c r="FH10" t="e">
        <f>AND(#REF!,"AAAAAG+7L6M=")</f>
        <v>#REF!</v>
      </c>
      <c r="FI10" t="e">
        <f>AND(#REF!,"AAAAAG+7L6Q=")</f>
        <v>#REF!</v>
      </c>
      <c r="FJ10" t="e">
        <f>AND(#REF!,"AAAAAG+7L6U=")</f>
        <v>#REF!</v>
      </c>
      <c r="FK10" t="e">
        <f>AND(#REF!,"AAAAAG+7L6Y=")</f>
        <v>#REF!</v>
      </c>
      <c r="FL10" t="e">
        <f>AND(#REF!,"AAAAAG+7L6c=")</f>
        <v>#REF!</v>
      </c>
      <c r="FM10" t="e">
        <f>AND(#REF!,"AAAAAG+7L6g=")</f>
        <v>#REF!</v>
      </c>
      <c r="FN10" t="e">
        <f>AND(#REF!,"AAAAAG+7L6k=")</f>
        <v>#REF!</v>
      </c>
      <c r="FO10" t="e">
        <f>AND(#REF!,"AAAAAG+7L6o=")</f>
        <v>#REF!</v>
      </c>
      <c r="FP10" t="e">
        <f>AND(#REF!,"AAAAAG+7L6s=")</f>
        <v>#REF!</v>
      </c>
      <c r="FQ10" t="e">
        <f>IF(#REF!,"AAAAAG+7L6w=",0)</f>
        <v>#REF!</v>
      </c>
      <c r="FR10" t="e">
        <f>AND(#REF!,"AAAAAG+7L60=")</f>
        <v>#REF!</v>
      </c>
      <c r="FS10" t="e">
        <f>AND(#REF!,"AAAAAG+7L64=")</f>
        <v>#REF!</v>
      </c>
      <c r="FT10" t="e">
        <f>AND(#REF!,"AAAAAG+7L68=")</f>
        <v>#REF!</v>
      </c>
      <c r="FU10" t="e">
        <f>AND(#REF!,"AAAAAG+7L7A=")</f>
        <v>#REF!</v>
      </c>
      <c r="FV10" t="e">
        <f>AND(#REF!,"AAAAAG+7L7E=")</f>
        <v>#REF!</v>
      </c>
      <c r="FW10" t="e">
        <f>AND(#REF!,"AAAAAG+7L7I=")</f>
        <v>#REF!</v>
      </c>
      <c r="FX10" t="e">
        <f>AND(#REF!,"AAAAAG+7L7M=")</f>
        <v>#REF!</v>
      </c>
      <c r="FY10" t="e">
        <f>AND(#REF!,"AAAAAG+7L7Q=")</f>
        <v>#REF!</v>
      </c>
      <c r="FZ10" t="e">
        <f>AND(#REF!,"AAAAAG+7L7U=")</f>
        <v>#REF!</v>
      </c>
      <c r="GA10" t="e">
        <f>AND(#REF!,"AAAAAG+7L7Y=")</f>
        <v>#REF!</v>
      </c>
      <c r="GB10" t="e">
        <f>AND(#REF!,"AAAAAG+7L7c=")</f>
        <v>#REF!</v>
      </c>
      <c r="GC10" t="e">
        <f>AND(#REF!,"AAAAAG+7L7g=")</f>
        <v>#REF!</v>
      </c>
      <c r="GD10" t="e">
        <f>AND(#REF!,"AAAAAG+7L7k=")</f>
        <v>#REF!</v>
      </c>
      <c r="GE10" t="e">
        <f>AND(#REF!,"AAAAAG+7L7o=")</f>
        <v>#REF!</v>
      </c>
      <c r="GF10" t="e">
        <f>IF(#REF!,"AAAAAG+7L7s=",0)</f>
        <v>#REF!</v>
      </c>
      <c r="GG10" t="e">
        <f>AND(#REF!,"AAAAAG+7L7w=")</f>
        <v>#REF!</v>
      </c>
      <c r="GH10" t="e">
        <f>AND(#REF!,"AAAAAG+7L70=")</f>
        <v>#REF!</v>
      </c>
      <c r="GI10" t="e">
        <f>AND(#REF!,"AAAAAG+7L74=")</f>
        <v>#REF!</v>
      </c>
      <c r="GJ10" t="e">
        <f>AND(#REF!,"AAAAAG+7L78=")</f>
        <v>#REF!</v>
      </c>
      <c r="GK10" t="e">
        <f>AND(#REF!,"AAAAAG+7L8A=")</f>
        <v>#REF!</v>
      </c>
      <c r="GL10" t="e">
        <f>AND(#REF!,"AAAAAG+7L8E=")</f>
        <v>#REF!</v>
      </c>
      <c r="GM10" t="e">
        <f>AND(#REF!,"AAAAAG+7L8I=")</f>
        <v>#REF!</v>
      </c>
      <c r="GN10" t="e">
        <f>AND(#REF!,"AAAAAG+7L8M=")</f>
        <v>#REF!</v>
      </c>
      <c r="GO10" t="e">
        <f>AND(#REF!,"AAAAAG+7L8Q=")</f>
        <v>#REF!</v>
      </c>
      <c r="GP10" t="e">
        <f>AND(#REF!,"AAAAAG+7L8U=")</f>
        <v>#REF!</v>
      </c>
      <c r="GQ10" t="e">
        <f>AND(#REF!,"AAAAAG+7L8Y=")</f>
        <v>#REF!</v>
      </c>
      <c r="GR10" t="e">
        <f>AND(#REF!,"AAAAAG+7L8c=")</f>
        <v>#REF!</v>
      </c>
      <c r="GS10" t="e">
        <f>AND(#REF!,"AAAAAG+7L8g=")</f>
        <v>#REF!</v>
      </c>
      <c r="GT10" t="e">
        <f>AND(#REF!,"AAAAAG+7L8k=")</f>
        <v>#REF!</v>
      </c>
      <c r="GU10" t="e">
        <f>IF(#REF!,"AAAAAG+7L8o=",0)</f>
        <v>#REF!</v>
      </c>
      <c r="GV10" t="e">
        <f>AND(#REF!,"AAAAAG+7L8s=")</f>
        <v>#REF!</v>
      </c>
      <c r="GW10" t="e">
        <f>AND(#REF!,"AAAAAG+7L8w=")</f>
        <v>#REF!</v>
      </c>
      <c r="GX10" t="e">
        <f>AND(#REF!,"AAAAAG+7L80=")</f>
        <v>#REF!</v>
      </c>
      <c r="GY10" t="e">
        <f>AND(#REF!,"AAAAAG+7L84=")</f>
        <v>#REF!</v>
      </c>
      <c r="GZ10" t="e">
        <f>AND(#REF!,"AAAAAG+7L88=")</f>
        <v>#REF!</v>
      </c>
      <c r="HA10" t="e">
        <f>AND(#REF!,"AAAAAG+7L9A=")</f>
        <v>#REF!</v>
      </c>
      <c r="HB10" t="e">
        <f>AND(#REF!,"AAAAAG+7L9E=")</f>
        <v>#REF!</v>
      </c>
      <c r="HC10" t="e">
        <f>AND(#REF!,"AAAAAG+7L9I=")</f>
        <v>#REF!</v>
      </c>
      <c r="HD10" t="e">
        <f>AND(#REF!,"AAAAAG+7L9M=")</f>
        <v>#REF!</v>
      </c>
      <c r="HE10" t="e">
        <f>AND(#REF!,"AAAAAG+7L9Q=")</f>
        <v>#REF!</v>
      </c>
      <c r="HF10" t="e">
        <f>AND(#REF!,"AAAAAG+7L9U=")</f>
        <v>#REF!</v>
      </c>
      <c r="HG10" t="e">
        <f>AND(#REF!,"AAAAAG+7L9Y=")</f>
        <v>#REF!</v>
      </c>
      <c r="HH10" t="e">
        <f>AND(#REF!,"AAAAAG+7L9c=")</f>
        <v>#REF!</v>
      </c>
      <c r="HI10" t="e">
        <f>AND(#REF!,"AAAAAG+7L9g=")</f>
        <v>#REF!</v>
      </c>
      <c r="HJ10" t="e">
        <f>IF(#REF!,"AAAAAG+7L9k=",0)</f>
        <v>#REF!</v>
      </c>
      <c r="HK10" t="e">
        <f>AND(#REF!,"AAAAAG+7L9o=")</f>
        <v>#REF!</v>
      </c>
      <c r="HL10" t="e">
        <f>AND(#REF!,"AAAAAG+7L9s=")</f>
        <v>#REF!</v>
      </c>
      <c r="HM10" t="e">
        <f>AND(#REF!,"AAAAAG+7L9w=")</f>
        <v>#REF!</v>
      </c>
      <c r="HN10" t="e">
        <f>AND(#REF!,"AAAAAG+7L90=")</f>
        <v>#REF!</v>
      </c>
      <c r="HO10" t="e">
        <f>AND(#REF!,"AAAAAG+7L94=")</f>
        <v>#REF!</v>
      </c>
      <c r="HP10" t="e">
        <f>AND(#REF!,"AAAAAG+7L98=")</f>
        <v>#REF!</v>
      </c>
      <c r="HQ10" t="e">
        <f>AND(#REF!,"AAAAAG+7L+A=")</f>
        <v>#REF!</v>
      </c>
      <c r="HR10" t="e">
        <f>AND(#REF!,"AAAAAG+7L+E=")</f>
        <v>#REF!</v>
      </c>
      <c r="HS10" t="e">
        <f>AND(#REF!,"AAAAAG+7L+I=")</f>
        <v>#REF!</v>
      </c>
      <c r="HT10" t="e">
        <f>AND(#REF!,"AAAAAG+7L+M=")</f>
        <v>#REF!</v>
      </c>
      <c r="HU10" t="e">
        <f>AND(#REF!,"AAAAAG+7L+Q=")</f>
        <v>#REF!</v>
      </c>
      <c r="HV10" t="e">
        <f>AND(#REF!,"AAAAAG+7L+U=")</f>
        <v>#REF!</v>
      </c>
      <c r="HW10" t="e">
        <f>AND(#REF!,"AAAAAG+7L+Y=")</f>
        <v>#REF!</v>
      </c>
      <c r="HX10" t="e">
        <f>AND(#REF!,"AAAAAG+7L+c=")</f>
        <v>#REF!</v>
      </c>
      <c r="HY10" t="e">
        <f>IF(#REF!,"AAAAAG+7L+g=",0)</f>
        <v>#REF!</v>
      </c>
      <c r="HZ10" t="e">
        <f>AND(#REF!,"AAAAAG+7L+k=")</f>
        <v>#REF!</v>
      </c>
      <c r="IA10" t="e">
        <f>AND(#REF!,"AAAAAG+7L+o=")</f>
        <v>#REF!</v>
      </c>
      <c r="IB10" t="e">
        <f>AND(#REF!,"AAAAAG+7L+s=")</f>
        <v>#REF!</v>
      </c>
      <c r="IC10" t="e">
        <f>AND(#REF!,"AAAAAG+7L+w=")</f>
        <v>#REF!</v>
      </c>
      <c r="ID10" t="e">
        <f>AND(#REF!,"AAAAAG+7L+0=")</f>
        <v>#REF!</v>
      </c>
      <c r="IE10" t="e">
        <f>AND(#REF!,"AAAAAG+7L+4=")</f>
        <v>#REF!</v>
      </c>
      <c r="IF10" t="e">
        <f>AND(#REF!,"AAAAAG+7L+8=")</f>
        <v>#REF!</v>
      </c>
      <c r="IG10" t="e">
        <f>AND(#REF!,"AAAAAG+7L/A=")</f>
        <v>#REF!</v>
      </c>
      <c r="IH10" t="e">
        <f>AND(#REF!,"AAAAAG+7L/E=")</f>
        <v>#REF!</v>
      </c>
      <c r="II10" t="e">
        <f>AND(#REF!,"AAAAAG+7L/I=")</f>
        <v>#REF!</v>
      </c>
      <c r="IJ10" t="e">
        <f>AND(#REF!,"AAAAAG+7L/M=")</f>
        <v>#REF!</v>
      </c>
      <c r="IK10" t="e">
        <f>AND(#REF!,"AAAAAG+7L/Q=")</f>
        <v>#REF!</v>
      </c>
      <c r="IL10" t="e">
        <f>AND(#REF!,"AAAAAG+7L/U=")</f>
        <v>#REF!</v>
      </c>
      <c r="IM10" t="e">
        <f>AND(#REF!,"AAAAAG+7L/Y=")</f>
        <v>#REF!</v>
      </c>
      <c r="IN10" t="e">
        <f>IF(#REF!,"AAAAAG+7L/c=",0)</f>
        <v>#REF!</v>
      </c>
      <c r="IO10" t="e">
        <f>AND(#REF!,"AAAAAG+7L/g=")</f>
        <v>#REF!</v>
      </c>
      <c r="IP10" t="e">
        <f>AND(#REF!,"AAAAAG+7L/k=")</f>
        <v>#REF!</v>
      </c>
      <c r="IQ10" t="e">
        <f>AND(#REF!,"AAAAAG+7L/o=")</f>
        <v>#REF!</v>
      </c>
      <c r="IR10" t="e">
        <f>AND(#REF!,"AAAAAG+7L/s=")</f>
        <v>#REF!</v>
      </c>
      <c r="IS10" t="e">
        <f>AND(#REF!,"AAAAAG+7L/w=")</f>
        <v>#REF!</v>
      </c>
      <c r="IT10" t="e">
        <f>AND(#REF!,"AAAAAG+7L/0=")</f>
        <v>#REF!</v>
      </c>
      <c r="IU10" t="e">
        <f>AND(#REF!,"AAAAAG+7L/4=")</f>
        <v>#REF!</v>
      </c>
      <c r="IV10" t="e">
        <f>AND(#REF!,"AAAAAG+7L/8=")</f>
        <v>#REF!</v>
      </c>
    </row>
    <row r="11" spans="1:256" x14ac:dyDescent="0.2">
      <c r="A11" t="e">
        <f>AND(#REF!,"AAAAAFfOdQA=")</f>
        <v>#REF!</v>
      </c>
      <c r="B11" t="e">
        <f>AND(#REF!,"AAAAAFfOdQE=")</f>
        <v>#REF!</v>
      </c>
      <c r="C11" t="e">
        <f>AND(#REF!,"AAAAAFfOdQI=")</f>
        <v>#REF!</v>
      </c>
      <c r="D11" t="e">
        <f>AND(#REF!,"AAAAAFfOdQM=")</f>
        <v>#REF!</v>
      </c>
      <c r="E11" t="e">
        <f>AND(#REF!,"AAAAAFfOdQQ=")</f>
        <v>#REF!</v>
      </c>
      <c r="F11" t="e">
        <f>AND(#REF!,"AAAAAFfOdQU=")</f>
        <v>#REF!</v>
      </c>
      <c r="G11" t="e">
        <f>IF(#REF!,"AAAAAFfOdQY=",0)</f>
        <v>#REF!</v>
      </c>
      <c r="H11" t="e">
        <f>AND(#REF!,"AAAAAFfOdQc=")</f>
        <v>#REF!</v>
      </c>
      <c r="I11" t="e">
        <f>AND(#REF!,"AAAAAFfOdQg=")</f>
        <v>#REF!</v>
      </c>
      <c r="J11" t="e">
        <f>AND(#REF!,"AAAAAFfOdQk=")</f>
        <v>#REF!</v>
      </c>
      <c r="K11" t="e">
        <f>AND(#REF!,"AAAAAFfOdQo=")</f>
        <v>#REF!</v>
      </c>
      <c r="L11" t="e">
        <f>AND(#REF!,"AAAAAFfOdQs=")</f>
        <v>#REF!</v>
      </c>
      <c r="M11" t="e">
        <f>AND(#REF!,"AAAAAFfOdQw=")</f>
        <v>#REF!</v>
      </c>
      <c r="N11" t="e">
        <f>AND(#REF!,"AAAAAFfOdQ0=")</f>
        <v>#REF!</v>
      </c>
      <c r="O11" t="e">
        <f>AND(#REF!,"AAAAAFfOdQ4=")</f>
        <v>#REF!</v>
      </c>
      <c r="P11" t="e">
        <f>AND(#REF!,"AAAAAFfOdQ8=")</f>
        <v>#REF!</v>
      </c>
      <c r="Q11" t="e">
        <f>AND(#REF!,"AAAAAFfOdRA=")</f>
        <v>#REF!</v>
      </c>
      <c r="R11" t="e">
        <f>AND(#REF!,"AAAAAFfOdRE=")</f>
        <v>#REF!</v>
      </c>
      <c r="S11" t="e">
        <f>AND(#REF!,"AAAAAFfOdRI=")</f>
        <v>#REF!</v>
      </c>
      <c r="T11" t="e">
        <f>AND(#REF!,"AAAAAFfOdRM=")</f>
        <v>#REF!</v>
      </c>
      <c r="U11" t="e">
        <f>AND(#REF!,"AAAAAFfOdRQ=")</f>
        <v>#REF!</v>
      </c>
      <c r="V11" t="e">
        <f>IF(#REF!,"AAAAAFfOdRU=",0)</f>
        <v>#REF!</v>
      </c>
      <c r="W11" t="e">
        <f>AND(#REF!,"AAAAAFfOdRY=")</f>
        <v>#REF!</v>
      </c>
      <c r="X11" t="e">
        <f>AND(#REF!,"AAAAAFfOdRc=")</f>
        <v>#REF!</v>
      </c>
      <c r="Y11" t="e">
        <f>AND(#REF!,"AAAAAFfOdRg=")</f>
        <v>#REF!</v>
      </c>
      <c r="Z11" t="e">
        <f>AND(#REF!,"AAAAAFfOdRk=")</f>
        <v>#REF!</v>
      </c>
      <c r="AA11" t="e">
        <f>AND(#REF!,"AAAAAFfOdRo=")</f>
        <v>#REF!</v>
      </c>
      <c r="AB11" t="e">
        <f>AND(#REF!,"AAAAAFfOdRs=")</f>
        <v>#REF!</v>
      </c>
      <c r="AC11" t="e">
        <f>AND(#REF!,"AAAAAFfOdRw=")</f>
        <v>#REF!</v>
      </c>
      <c r="AD11" t="e">
        <f>AND(#REF!,"AAAAAFfOdR0=")</f>
        <v>#REF!</v>
      </c>
      <c r="AE11" t="e">
        <f>AND(#REF!,"AAAAAFfOdR4=")</f>
        <v>#REF!</v>
      </c>
      <c r="AF11" t="e">
        <f>AND(#REF!,"AAAAAFfOdR8=")</f>
        <v>#REF!</v>
      </c>
      <c r="AG11" t="e">
        <f>AND(#REF!,"AAAAAFfOdSA=")</f>
        <v>#REF!</v>
      </c>
      <c r="AH11" t="e">
        <f>AND(#REF!,"AAAAAFfOdSE=")</f>
        <v>#REF!</v>
      </c>
      <c r="AI11" t="e">
        <f>IF(#REF!,"AAAAAFfOdSI=",0)</f>
        <v>#REF!</v>
      </c>
      <c r="AJ11" t="e">
        <f>AND(#REF!,"AAAAAFfOdSM=")</f>
        <v>#REF!</v>
      </c>
      <c r="AK11" t="e">
        <f>AND(#REF!,"AAAAAFfOdSQ=")</f>
        <v>#REF!</v>
      </c>
      <c r="AL11" t="e">
        <f>AND(#REF!,"AAAAAFfOdSU=")</f>
        <v>#REF!</v>
      </c>
      <c r="AM11" t="e">
        <f>AND(#REF!,"AAAAAFfOdSY=")</f>
        <v>#REF!</v>
      </c>
      <c r="AN11" t="e">
        <f>AND(#REF!,"AAAAAFfOdSc=")</f>
        <v>#REF!</v>
      </c>
      <c r="AO11" t="e">
        <f>AND(#REF!,"AAAAAFfOdSg=")</f>
        <v>#REF!</v>
      </c>
      <c r="AP11" t="e">
        <f>AND(#REF!,"AAAAAFfOdSk=")</f>
        <v>#REF!</v>
      </c>
      <c r="AQ11" t="e">
        <f>AND(#REF!,"AAAAAFfOdSo=")</f>
        <v>#REF!</v>
      </c>
      <c r="AR11" t="e">
        <f>AND(#REF!,"AAAAAFfOdSs=")</f>
        <v>#REF!</v>
      </c>
      <c r="AS11" t="e">
        <f>AND(#REF!,"AAAAAFfOdSw=")</f>
        <v>#REF!</v>
      </c>
      <c r="AT11" t="e">
        <f>AND(#REF!,"AAAAAFfOdS0=")</f>
        <v>#REF!</v>
      </c>
      <c r="AU11" t="e">
        <f>AND(#REF!,"AAAAAFfOdS4=")</f>
        <v>#REF!</v>
      </c>
      <c r="AV11" t="e">
        <f>IF(#REF!,"AAAAAFfOdS8=",0)</f>
        <v>#REF!</v>
      </c>
      <c r="AW11" t="e">
        <f>AND(#REF!,"AAAAAFfOdTA=")</f>
        <v>#REF!</v>
      </c>
      <c r="AX11" t="e">
        <f>AND(#REF!,"AAAAAFfOdTE=")</f>
        <v>#REF!</v>
      </c>
      <c r="AY11" t="e">
        <f>AND(#REF!,"AAAAAFfOdTI=")</f>
        <v>#REF!</v>
      </c>
      <c r="AZ11" t="e">
        <f>AND(#REF!,"AAAAAFfOdTM=")</f>
        <v>#REF!</v>
      </c>
      <c r="BA11" t="e">
        <f>AND(#REF!,"AAAAAFfOdTQ=")</f>
        <v>#REF!</v>
      </c>
      <c r="BB11" t="e">
        <f>AND(#REF!,"AAAAAFfOdTU=")</f>
        <v>#REF!</v>
      </c>
      <c r="BC11" t="e">
        <f>AND(#REF!,"AAAAAFfOdTY=")</f>
        <v>#REF!</v>
      </c>
      <c r="BD11" t="e">
        <f>AND(#REF!,"AAAAAFfOdTc=")</f>
        <v>#REF!</v>
      </c>
      <c r="BE11" t="e">
        <f>AND(#REF!,"AAAAAFfOdTg=")</f>
        <v>#REF!</v>
      </c>
      <c r="BF11" t="e">
        <f>AND(#REF!,"AAAAAFfOdTk=")</f>
        <v>#REF!</v>
      </c>
      <c r="BG11" t="e">
        <f>AND(#REF!,"AAAAAFfOdTo=")</f>
        <v>#REF!</v>
      </c>
      <c r="BH11" t="e">
        <f>AND(#REF!,"AAAAAFfOdTs=")</f>
        <v>#REF!</v>
      </c>
      <c r="BI11" t="e">
        <f>IF(#REF!,"AAAAAFfOdTw=",0)</f>
        <v>#REF!</v>
      </c>
      <c r="BJ11" t="e">
        <f>AND(#REF!,"AAAAAFfOdT0=")</f>
        <v>#REF!</v>
      </c>
      <c r="BK11" t="e">
        <f>AND(#REF!,"AAAAAFfOdT4=")</f>
        <v>#REF!</v>
      </c>
      <c r="BL11" t="e">
        <f>AND(#REF!,"AAAAAFfOdT8=")</f>
        <v>#REF!</v>
      </c>
      <c r="BM11" t="e">
        <f>AND(#REF!,"AAAAAFfOdUA=")</f>
        <v>#REF!</v>
      </c>
      <c r="BN11" t="e">
        <f>AND(#REF!,"AAAAAFfOdUE=")</f>
        <v>#REF!</v>
      </c>
      <c r="BO11" t="e">
        <f>AND(#REF!,"AAAAAFfOdUI=")</f>
        <v>#REF!</v>
      </c>
      <c r="BP11" t="e">
        <f>AND(#REF!,"AAAAAFfOdUM=")</f>
        <v>#REF!</v>
      </c>
      <c r="BQ11" t="e">
        <f>AND(#REF!,"AAAAAFfOdUQ=")</f>
        <v>#REF!</v>
      </c>
      <c r="BR11" t="e">
        <f>AND(#REF!,"AAAAAFfOdUU=")</f>
        <v>#REF!</v>
      </c>
      <c r="BS11" t="e">
        <f>AND(#REF!,"AAAAAFfOdUY=")</f>
        <v>#REF!</v>
      </c>
      <c r="BT11" t="e">
        <f>AND(#REF!,"AAAAAFfOdUc=")</f>
        <v>#REF!</v>
      </c>
      <c r="BU11" t="e">
        <f>AND(#REF!,"AAAAAFfOdUg=")</f>
        <v>#REF!</v>
      </c>
      <c r="BV11" t="e">
        <f>IF(#REF!,"AAAAAFfOdUk=",0)</f>
        <v>#REF!</v>
      </c>
      <c r="BW11" t="e">
        <f>AND(#REF!,"AAAAAFfOdUo=")</f>
        <v>#REF!</v>
      </c>
      <c r="BX11" t="e">
        <f>AND(#REF!,"AAAAAFfOdUs=")</f>
        <v>#REF!</v>
      </c>
      <c r="BY11" t="e">
        <f>AND(#REF!,"AAAAAFfOdUw=")</f>
        <v>#REF!</v>
      </c>
      <c r="BZ11" t="e">
        <f>AND(#REF!,"AAAAAFfOdU0=")</f>
        <v>#REF!</v>
      </c>
      <c r="CA11" t="e">
        <f>AND(#REF!,"AAAAAFfOdU4=")</f>
        <v>#REF!</v>
      </c>
      <c r="CB11" t="e">
        <f>AND(#REF!,"AAAAAFfOdU8=")</f>
        <v>#REF!</v>
      </c>
      <c r="CC11" t="e">
        <f>AND(#REF!,"AAAAAFfOdVA=")</f>
        <v>#REF!</v>
      </c>
      <c r="CD11" t="e">
        <f>AND(#REF!,"AAAAAFfOdVE=")</f>
        <v>#REF!</v>
      </c>
      <c r="CE11" t="e">
        <f>AND(#REF!,"AAAAAFfOdVI=")</f>
        <v>#REF!</v>
      </c>
      <c r="CF11" t="e">
        <f>AND(#REF!,"AAAAAFfOdVM=")</f>
        <v>#REF!</v>
      </c>
      <c r="CG11" t="e">
        <f>AND(#REF!,"AAAAAFfOdVQ=")</f>
        <v>#REF!</v>
      </c>
      <c r="CH11" t="e">
        <f>AND(#REF!,"AAAAAFfOdVU=")</f>
        <v>#REF!</v>
      </c>
      <c r="CI11" t="e">
        <f>IF(#REF!,"AAAAAFfOdVY=",0)</f>
        <v>#REF!</v>
      </c>
      <c r="CJ11" t="e">
        <f>AND(#REF!,"AAAAAFfOdVc=")</f>
        <v>#REF!</v>
      </c>
      <c r="CK11" t="e">
        <f>AND(#REF!,"AAAAAFfOdVg=")</f>
        <v>#REF!</v>
      </c>
      <c r="CL11" t="e">
        <f>AND(#REF!,"AAAAAFfOdVk=")</f>
        <v>#REF!</v>
      </c>
      <c r="CM11" t="e">
        <f>AND(#REF!,"AAAAAFfOdVo=")</f>
        <v>#REF!</v>
      </c>
      <c r="CN11" t="e">
        <f>AND(#REF!,"AAAAAFfOdVs=")</f>
        <v>#REF!</v>
      </c>
      <c r="CO11" t="e">
        <f>AND(#REF!,"AAAAAFfOdVw=")</f>
        <v>#REF!</v>
      </c>
      <c r="CP11" t="e">
        <f>AND(#REF!,"AAAAAFfOdV0=")</f>
        <v>#REF!</v>
      </c>
      <c r="CQ11" t="e">
        <f>AND(#REF!,"AAAAAFfOdV4=")</f>
        <v>#REF!</v>
      </c>
      <c r="CR11" t="e">
        <f>AND(#REF!,"AAAAAFfOdV8=")</f>
        <v>#REF!</v>
      </c>
      <c r="CS11" t="e">
        <f>AND(#REF!,"AAAAAFfOdWA=")</f>
        <v>#REF!</v>
      </c>
      <c r="CT11" t="e">
        <f>AND(#REF!,"AAAAAFfOdWE=")</f>
        <v>#REF!</v>
      </c>
      <c r="CU11" t="e">
        <f>AND(#REF!,"AAAAAFfOdWI=")</f>
        <v>#REF!</v>
      </c>
      <c r="CV11" t="e">
        <f>IF(#REF!,"AAAAAFfOdWM=",0)</f>
        <v>#REF!</v>
      </c>
      <c r="CW11" t="e">
        <f>AND(#REF!,"AAAAAFfOdWQ=")</f>
        <v>#REF!</v>
      </c>
      <c r="CX11" t="e">
        <f>AND(#REF!,"AAAAAFfOdWU=")</f>
        <v>#REF!</v>
      </c>
      <c r="CY11" t="e">
        <f>AND(#REF!,"AAAAAFfOdWY=")</f>
        <v>#REF!</v>
      </c>
      <c r="CZ11" t="e">
        <f>AND(#REF!,"AAAAAFfOdWc=")</f>
        <v>#REF!</v>
      </c>
      <c r="DA11" t="e">
        <f>AND(#REF!,"AAAAAFfOdWg=")</f>
        <v>#REF!</v>
      </c>
      <c r="DB11" t="e">
        <f>AND(#REF!,"AAAAAFfOdWk=")</f>
        <v>#REF!</v>
      </c>
      <c r="DC11" t="e">
        <f>AND(#REF!,"AAAAAFfOdWo=")</f>
        <v>#REF!</v>
      </c>
      <c r="DD11" t="e">
        <f>AND(#REF!,"AAAAAFfOdWs=")</f>
        <v>#REF!</v>
      </c>
      <c r="DE11" t="e">
        <f>AND(#REF!,"AAAAAFfOdWw=")</f>
        <v>#REF!</v>
      </c>
      <c r="DF11" t="e">
        <f>AND(#REF!,"AAAAAFfOdW0=")</f>
        <v>#REF!</v>
      </c>
      <c r="DG11" t="e">
        <f>AND(#REF!,"AAAAAFfOdW4=")</f>
        <v>#REF!</v>
      </c>
      <c r="DH11" t="e">
        <f>AND(#REF!,"AAAAAFfOdW8=")</f>
        <v>#REF!</v>
      </c>
      <c r="DI11" t="e">
        <f>IF(#REF!,"AAAAAFfOdXA=",0)</f>
        <v>#REF!</v>
      </c>
      <c r="DJ11" t="e">
        <f>AND(#REF!,"AAAAAFfOdXE=")</f>
        <v>#REF!</v>
      </c>
      <c r="DK11" t="e">
        <f>AND(#REF!,"AAAAAFfOdXI=")</f>
        <v>#REF!</v>
      </c>
      <c r="DL11" t="e">
        <f>AND(#REF!,"AAAAAFfOdXM=")</f>
        <v>#REF!</v>
      </c>
      <c r="DM11" t="e">
        <f>AND(#REF!,"AAAAAFfOdXQ=")</f>
        <v>#REF!</v>
      </c>
      <c r="DN11" t="e">
        <f>AND(#REF!,"AAAAAFfOdXU=")</f>
        <v>#REF!</v>
      </c>
      <c r="DO11" t="e">
        <f>AND(#REF!,"AAAAAFfOdXY=")</f>
        <v>#REF!</v>
      </c>
      <c r="DP11" t="e">
        <f>AND(#REF!,"AAAAAFfOdXc=")</f>
        <v>#REF!</v>
      </c>
      <c r="DQ11" t="e">
        <f>AND(#REF!,"AAAAAFfOdXg=")</f>
        <v>#REF!</v>
      </c>
      <c r="DR11" t="e">
        <f>AND(#REF!,"AAAAAFfOdXk=")</f>
        <v>#REF!</v>
      </c>
      <c r="DS11" t="e">
        <f>AND(#REF!,"AAAAAFfOdXo=")</f>
        <v>#REF!</v>
      </c>
      <c r="DT11" t="e">
        <f>AND(#REF!,"AAAAAFfOdXs=")</f>
        <v>#REF!</v>
      </c>
      <c r="DU11" t="e">
        <f>AND(#REF!,"AAAAAFfOdXw=")</f>
        <v>#REF!</v>
      </c>
      <c r="DV11" t="e">
        <f>IF(#REF!,"AAAAAFfOdX0=",0)</f>
        <v>#REF!</v>
      </c>
      <c r="DW11" t="e">
        <f>AND(#REF!,"AAAAAFfOdX4=")</f>
        <v>#REF!</v>
      </c>
      <c r="DX11" t="e">
        <f>AND(#REF!,"AAAAAFfOdX8=")</f>
        <v>#REF!</v>
      </c>
      <c r="DY11" t="e">
        <f>AND(#REF!,"AAAAAFfOdYA=")</f>
        <v>#REF!</v>
      </c>
      <c r="DZ11" t="e">
        <f>AND(#REF!,"AAAAAFfOdYE=")</f>
        <v>#REF!</v>
      </c>
      <c r="EA11" t="e">
        <f>AND(#REF!,"AAAAAFfOdYI=")</f>
        <v>#REF!</v>
      </c>
      <c r="EB11" t="e">
        <f>AND(#REF!,"AAAAAFfOdYM=")</f>
        <v>#REF!</v>
      </c>
      <c r="EC11" t="e">
        <f>AND(#REF!,"AAAAAFfOdYQ=")</f>
        <v>#REF!</v>
      </c>
      <c r="ED11" t="e">
        <f>AND(#REF!,"AAAAAFfOdYU=")</f>
        <v>#REF!</v>
      </c>
      <c r="EE11" t="e">
        <f>AND(#REF!,"AAAAAFfOdYY=")</f>
        <v>#REF!</v>
      </c>
      <c r="EF11" t="e">
        <f>AND(#REF!,"AAAAAFfOdYc=")</f>
        <v>#REF!</v>
      </c>
      <c r="EG11" t="e">
        <f>AND(#REF!,"AAAAAFfOdYg=")</f>
        <v>#REF!</v>
      </c>
      <c r="EH11" t="e">
        <f>AND(#REF!,"AAAAAFfOdYk=")</f>
        <v>#REF!</v>
      </c>
      <c r="EI11" t="e">
        <f>IF(#REF!,"AAAAAFfOdYo=",0)</f>
        <v>#REF!</v>
      </c>
      <c r="EJ11" t="e">
        <f>AND(#REF!,"AAAAAFfOdYs=")</f>
        <v>#REF!</v>
      </c>
      <c r="EK11" t="e">
        <f>AND(#REF!,"AAAAAFfOdYw=")</f>
        <v>#REF!</v>
      </c>
      <c r="EL11" t="e">
        <f>AND(#REF!,"AAAAAFfOdY0=")</f>
        <v>#REF!</v>
      </c>
      <c r="EM11" t="e">
        <f>AND(#REF!,"AAAAAFfOdY4=")</f>
        <v>#REF!</v>
      </c>
      <c r="EN11" t="e">
        <f>AND(#REF!,"AAAAAFfOdY8=")</f>
        <v>#REF!</v>
      </c>
      <c r="EO11" t="e">
        <f>AND(#REF!,"AAAAAFfOdZA=")</f>
        <v>#REF!</v>
      </c>
      <c r="EP11" t="e">
        <f>AND(#REF!,"AAAAAFfOdZE=")</f>
        <v>#REF!</v>
      </c>
      <c r="EQ11" t="e">
        <f>AND(#REF!,"AAAAAFfOdZI=")</f>
        <v>#REF!</v>
      </c>
      <c r="ER11" t="e">
        <f>AND(#REF!,"AAAAAFfOdZM=")</f>
        <v>#REF!</v>
      </c>
      <c r="ES11" t="e">
        <f>AND(#REF!,"AAAAAFfOdZQ=")</f>
        <v>#REF!</v>
      </c>
      <c r="ET11" t="e">
        <f>AND(#REF!,"AAAAAFfOdZU=")</f>
        <v>#REF!</v>
      </c>
      <c r="EU11" t="e">
        <f>AND(#REF!,"AAAAAFfOdZY=")</f>
        <v>#REF!</v>
      </c>
      <c r="EV11" t="e">
        <f>IF(#REF!,"AAAAAFfOdZc=",0)</f>
        <v>#REF!</v>
      </c>
      <c r="EW11" t="e">
        <f>AND(#REF!,"AAAAAFfOdZg=")</f>
        <v>#REF!</v>
      </c>
      <c r="EX11" t="e">
        <f>AND(#REF!,"AAAAAFfOdZk=")</f>
        <v>#REF!</v>
      </c>
      <c r="EY11" t="e">
        <f>AND(#REF!,"AAAAAFfOdZo=")</f>
        <v>#REF!</v>
      </c>
      <c r="EZ11" t="e">
        <f>AND(#REF!,"AAAAAFfOdZs=")</f>
        <v>#REF!</v>
      </c>
      <c r="FA11" t="e">
        <f>AND(#REF!,"AAAAAFfOdZw=")</f>
        <v>#REF!</v>
      </c>
      <c r="FB11" t="e">
        <f>AND(#REF!,"AAAAAFfOdZ0=")</f>
        <v>#REF!</v>
      </c>
      <c r="FC11" t="e">
        <f>AND(#REF!,"AAAAAFfOdZ4=")</f>
        <v>#REF!</v>
      </c>
      <c r="FD11" t="e">
        <f>AND(#REF!,"AAAAAFfOdZ8=")</f>
        <v>#REF!</v>
      </c>
      <c r="FE11" t="e">
        <f>AND(#REF!,"AAAAAFfOdaA=")</f>
        <v>#REF!</v>
      </c>
      <c r="FF11" t="e">
        <f>AND(#REF!,"AAAAAFfOdaE=")</f>
        <v>#REF!</v>
      </c>
      <c r="FG11" t="e">
        <f>AND(#REF!,"AAAAAFfOdaI=")</f>
        <v>#REF!</v>
      </c>
      <c r="FH11" t="e">
        <f>AND(#REF!,"AAAAAFfOdaM=")</f>
        <v>#REF!</v>
      </c>
      <c r="FI11" t="e">
        <f>IF(#REF!,"AAAAAFfOdaQ=",0)</f>
        <v>#REF!</v>
      </c>
      <c r="FJ11" t="e">
        <f>IF(#REF!,"AAAAAFfOdaU=",0)</f>
        <v>#REF!</v>
      </c>
      <c r="FK11" t="e">
        <f>IF(#REF!,"AAAAAFfOdaY=",0)</f>
        <v>#REF!</v>
      </c>
      <c r="FL11" t="e">
        <f>IF(#REF!,"AAAAAFfOdac=",0)</f>
        <v>#REF!</v>
      </c>
      <c r="FM11" t="e">
        <f>IF(#REF!,"AAAAAFfOdag=",0)</f>
        <v>#REF!</v>
      </c>
      <c r="FN11" t="e">
        <f>IF(#REF!,"AAAAAFfOdak=",0)</f>
        <v>#REF!</v>
      </c>
      <c r="FO11" t="e">
        <f>IF(#REF!,"AAAAAFfOdao=",0)</f>
        <v>#REF!</v>
      </c>
      <c r="FP11" t="e">
        <f>IF(#REF!,"AAAAAFfOdas=",0)</f>
        <v>#REF!</v>
      </c>
      <c r="FQ11" t="e">
        <f>IF(#REF!,"AAAAAFfOdaw=",0)</f>
        <v>#REF!</v>
      </c>
      <c r="FR11" t="e">
        <f>IF(#REF!,"AAAAAFfOda0=",0)</f>
        <v>#REF!</v>
      </c>
      <c r="FS11" t="e">
        <f>IF(#REF!,"AAAAAFfOda4=",0)</f>
        <v>#REF!</v>
      </c>
      <c r="FT11" t="e">
        <f>IF(#REF!,"AAAAAFfOda8=",0)</f>
        <v>#REF!</v>
      </c>
      <c r="FU11" t="e">
        <f>IF(#REF!,"AAAAAFfOdbA=",0)</f>
        <v>#REF!</v>
      </c>
      <c r="FV11" t="e">
        <f>IF(#REF!,"AAAAAFfOdbE=",0)</f>
        <v>#REF!</v>
      </c>
      <c r="FW11" t="e">
        <f>IF(#REF!,"AAAAAFfOdbI=",0)</f>
        <v>#REF!</v>
      </c>
      <c r="FX11" t="e">
        <f>AND(#REF!,"AAAAAFfOdbM=")</f>
        <v>#REF!</v>
      </c>
      <c r="FY11" t="e">
        <f>AND(#REF!,"AAAAAFfOdbQ=")</f>
        <v>#REF!</v>
      </c>
      <c r="FZ11" t="e">
        <f>AND(#REF!,"AAAAAFfOdbU=")</f>
        <v>#REF!</v>
      </c>
      <c r="GA11" t="e">
        <f>AND(#REF!,"AAAAAFfOdbY=")</f>
        <v>#REF!</v>
      </c>
      <c r="GB11" t="e">
        <f>AND(#REF!,"AAAAAFfOdbc=")</f>
        <v>#REF!</v>
      </c>
      <c r="GC11" t="e">
        <f>AND(#REF!,"AAAAAFfOdbg=")</f>
        <v>#REF!</v>
      </c>
      <c r="GD11" t="e">
        <f>AND(#REF!,"AAAAAFfOdbk=")</f>
        <v>#REF!</v>
      </c>
      <c r="GE11" t="e">
        <f>AND(#REF!,"AAAAAFfOdbo=")</f>
        <v>#REF!</v>
      </c>
      <c r="GF11" t="e">
        <f>IF(#REF!,"AAAAAFfOdbs=",0)</f>
        <v>#REF!</v>
      </c>
      <c r="GG11" t="e">
        <f>AND(#REF!,"AAAAAFfOdbw=")</f>
        <v>#REF!</v>
      </c>
      <c r="GH11" t="e">
        <f>AND(#REF!,"AAAAAFfOdb0=")</f>
        <v>#REF!</v>
      </c>
      <c r="GI11" t="e">
        <f>AND(#REF!,"AAAAAFfOdb4=")</f>
        <v>#REF!</v>
      </c>
      <c r="GJ11" t="e">
        <f>AND(#REF!,"AAAAAFfOdb8=")</f>
        <v>#REF!</v>
      </c>
      <c r="GK11" t="e">
        <f>AND(#REF!,"AAAAAFfOdcA=")</f>
        <v>#REF!</v>
      </c>
      <c r="GL11" t="e">
        <f>AND(#REF!,"AAAAAFfOdcE=")</f>
        <v>#REF!</v>
      </c>
      <c r="GM11" t="e">
        <f>AND(#REF!,"AAAAAFfOdcI=")</f>
        <v>#REF!</v>
      </c>
      <c r="GN11" t="e">
        <f>AND(#REF!,"AAAAAFfOdcM=")</f>
        <v>#REF!</v>
      </c>
      <c r="GO11" t="e">
        <f>IF(#REF!,"AAAAAFfOdcQ=",0)</f>
        <v>#REF!</v>
      </c>
      <c r="GP11" t="e">
        <f>AND(#REF!,"AAAAAFfOdcU=")</f>
        <v>#REF!</v>
      </c>
      <c r="GQ11" t="e">
        <f>AND(#REF!,"AAAAAFfOdcY=")</f>
        <v>#REF!</v>
      </c>
      <c r="GR11" t="e">
        <f>AND(#REF!,"AAAAAFfOdcc=")</f>
        <v>#REF!</v>
      </c>
      <c r="GS11" t="e">
        <f>AND(#REF!,"AAAAAFfOdcg=")</f>
        <v>#REF!</v>
      </c>
      <c r="GT11" t="e">
        <f>AND(#REF!,"AAAAAFfOdck=")</f>
        <v>#REF!</v>
      </c>
      <c r="GU11" t="e">
        <f>AND(#REF!,"AAAAAFfOdco=")</f>
        <v>#REF!</v>
      </c>
      <c r="GV11" t="e">
        <f>AND(#REF!,"AAAAAFfOdcs=")</f>
        <v>#REF!</v>
      </c>
      <c r="GW11" t="e">
        <f>AND(#REF!,"AAAAAFfOdcw=")</f>
        <v>#REF!</v>
      </c>
      <c r="GX11" t="e">
        <f>IF(#REF!,"AAAAAFfOdc0=",0)</f>
        <v>#REF!</v>
      </c>
      <c r="GY11" t="e">
        <f>AND(#REF!,"AAAAAFfOdc4=")</f>
        <v>#REF!</v>
      </c>
      <c r="GZ11" t="e">
        <f>AND(#REF!,"AAAAAFfOdc8=")</f>
        <v>#REF!</v>
      </c>
      <c r="HA11" t="e">
        <f>AND(#REF!,"AAAAAFfOddA=")</f>
        <v>#REF!</v>
      </c>
      <c r="HB11" t="e">
        <f>AND(#REF!,"AAAAAFfOddE=")</f>
        <v>#REF!</v>
      </c>
      <c r="HC11" t="e">
        <f>AND(#REF!,"AAAAAFfOddI=")</f>
        <v>#REF!</v>
      </c>
      <c r="HD11" t="e">
        <f>AND(#REF!,"AAAAAFfOddM=")</f>
        <v>#REF!</v>
      </c>
      <c r="HE11" t="e">
        <f>AND(#REF!,"AAAAAFfOddQ=")</f>
        <v>#REF!</v>
      </c>
      <c r="HF11" t="e">
        <f>AND(#REF!,"AAAAAFfOddU=")</f>
        <v>#REF!</v>
      </c>
      <c r="HG11" t="e">
        <f>IF(#REF!,"AAAAAFfOddY=",0)</f>
        <v>#REF!</v>
      </c>
      <c r="HH11" t="e">
        <f>AND(#REF!,"AAAAAFfOddc=")</f>
        <v>#REF!</v>
      </c>
      <c r="HI11" t="e">
        <f>AND(#REF!,"AAAAAFfOddg=")</f>
        <v>#REF!</v>
      </c>
      <c r="HJ11" t="e">
        <f>AND(#REF!,"AAAAAFfOddk=")</f>
        <v>#REF!</v>
      </c>
      <c r="HK11" t="e">
        <f>AND(#REF!,"AAAAAFfOddo=")</f>
        <v>#REF!</v>
      </c>
      <c r="HL11" t="e">
        <f>AND(#REF!,"AAAAAFfOdds=")</f>
        <v>#REF!</v>
      </c>
      <c r="HM11" t="e">
        <f>AND(#REF!,"AAAAAFfOddw=")</f>
        <v>#REF!</v>
      </c>
      <c r="HN11" t="e">
        <f>AND(#REF!,"AAAAAFfOdd0=")</f>
        <v>#REF!</v>
      </c>
      <c r="HO11" t="e">
        <f>AND(#REF!,"AAAAAFfOdd4=")</f>
        <v>#REF!</v>
      </c>
      <c r="HP11" t="e">
        <f>IF(#REF!,"AAAAAFfOdd8=",0)</f>
        <v>#REF!</v>
      </c>
      <c r="HQ11" t="e">
        <f>AND(#REF!,"AAAAAFfOdeA=")</f>
        <v>#REF!</v>
      </c>
      <c r="HR11" t="e">
        <f>AND(#REF!,"AAAAAFfOdeE=")</f>
        <v>#REF!</v>
      </c>
      <c r="HS11" t="e">
        <f>AND(#REF!,"AAAAAFfOdeI=")</f>
        <v>#REF!</v>
      </c>
      <c r="HT11" t="e">
        <f>AND(#REF!,"AAAAAFfOdeM=")</f>
        <v>#REF!</v>
      </c>
      <c r="HU11" t="e">
        <f>AND(#REF!,"AAAAAFfOdeQ=")</f>
        <v>#REF!</v>
      </c>
      <c r="HV11" t="e">
        <f>AND(#REF!,"AAAAAFfOdeU=")</f>
        <v>#REF!</v>
      </c>
      <c r="HW11" t="e">
        <f>AND(#REF!,"AAAAAFfOdeY=")</f>
        <v>#REF!</v>
      </c>
      <c r="HX11" t="e">
        <f>AND(#REF!,"AAAAAFfOdec=")</f>
        <v>#REF!</v>
      </c>
      <c r="HY11" t="e">
        <f>IF(#REF!,"AAAAAFfOdeg=",0)</f>
        <v>#REF!</v>
      </c>
      <c r="HZ11" t="e">
        <f>AND(#REF!,"AAAAAFfOdek=")</f>
        <v>#REF!</v>
      </c>
      <c r="IA11" t="e">
        <f>AND(#REF!,"AAAAAFfOdeo=")</f>
        <v>#REF!</v>
      </c>
      <c r="IB11" t="e">
        <f>AND(#REF!,"AAAAAFfOdes=")</f>
        <v>#REF!</v>
      </c>
      <c r="IC11" t="e">
        <f>AND(#REF!,"AAAAAFfOdew=")</f>
        <v>#REF!</v>
      </c>
      <c r="ID11" t="e">
        <f>AND(#REF!,"AAAAAFfOde0=")</f>
        <v>#REF!</v>
      </c>
      <c r="IE11" t="e">
        <f>AND(#REF!,"AAAAAFfOde4=")</f>
        <v>#REF!</v>
      </c>
      <c r="IF11" t="e">
        <f>AND(#REF!,"AAAAAFfOde8=")</f>
        <v>#REF!</v>
      </c>
      <c r="IG11" t="e">
        <f>AND(#REF!,"AAAAAFfOdfA=")</f>
        <v>#REF!</v>
      </c>
      <c r="IH11" t="e">
        <f>IF(#REF!,"AAAAAFfOdfE=",0)</f>
        <v>#REF!</v>
      </c>
      <c r="II11" t="e">
        <f>AND(#REF!,"AAAAAFfOdfI=")</f>
        <v>#REF!</v>
      </c>
      <c r="IJ11" t="e">
        <f>AND(#REF!,"AAAAAFfOdfM=")</f>
        <v>#REF!</v>
      </c>
      <c r="IK11" t="e">
        <f>AND(#REF!,"AAAAAFfOdfQ=")</f>
        <v>#REF!</v>
      </c>
      <c r="IL11" t="e">
        <f>AND(#REF!,"AAAAAFfOdfU=")</f>
        <v>#REF!</v>
      </c>
      <c r="IM11" t="e">
        <f>AND(#REF!,"AAAAAFfOdfY=")</f>
        <v>#REF!</v>
      </c>
      <c r="IN11" t="e">
        <f>AND(#REF!,"AAAAAFfOdfc=")</f>
        <v>#REF!</v>
      </c>
      <c r="IO11" t="e">
        <f>AND(#REF!,"AAAAAFfOdfg=")</f>
        <v>#REF!</v>
      </c>
      <c r="IP11" t="e">
        <f>AND(#REF!,"AAAAAFfOdfk=")</f>
        <v>#REF!</v>
      </c>
      <c r="IQ11" t="e">
        <f>IF(#REF!,"AAAAAFfOdfo=",0)</f>
        <v>#REF!</v>
      </c>
      <c r="IR11" t="e">
        <f>AND(#REF!,"AAAAAFfOdfs=")</f>
        <v>#REF!</v>
      </c>
      <c r="IS11" t="e">
        <f>AND(#REF!,"AAAAAFfOdfw=")</f>
        <v>#REF!</v>
      </c>
      <c r="IT11" t="e">
        <f>AND(#REF!,"AAAAAFfOdf0=")</f>
        <v>#REF!</v>
      </c>
      <c r="IU11" t="e">
        <f>AND(#REF!,"AAAAAFfOdf4=")</f>
        <v>#REF!</v>
      </c>
      <c r="IV11" t="e">
        <f>AND(#REF!,"AAAAAFfOdf8=")</f>
        <v>#REF!</v>
      </c>
    </row>
    <row r="12" spans="1:256" x14ac:dyDescent="0.2">
      <c r="A12" t="e">
        <f>AND(#REF!,"AAAAADcn/gA=")</f>
        <v>#REF!</v>
      </c>
      <c r="B12" t="e">
        <f>AND(#REF!,"AAAAADcn/gE=")</f>
        <v>#REF!</v>
      </c>
      <c r="C12" t="e">
        <f>AND(#REF!,"AAAAADcn/gI=")</f>
        <v>#REF!</v>
      </c>
      <c r="D12" t="e">
        <f>IF(#REF!,"AAAAADcn/gM=",0)</f>
        <v>#REF!</v>
      </c>
      <c r="E12" t="e">
        <f>AND(#REF!,"AAAAADcn/gQ=")</f>
        <v>#REF!</v>
      </c>
      <c r="F12" t="e">
        <f>AND(#REF!,"AAAAADcn/gU=")</f>
        <v>#REF!</v>
      </c>
      <c r="G12" t="e">
        <f>AND(#REF!,"AAAAADcn/gY=")</f>
        <v>#REF!</v>
      </c>
      <c r="H12" t="e">
        <f>AND(#REF!,"AAAAADcn/gc=")</f>
        <v>#REF!</v>
      </c>
      <c r="I12" t="e">
        <f>AND(#REF!,"AAAAADcn/gg=")</f>
        <v>#REF!</v>
      </c>
      <c r="J12" t="e">
        <f>AND(#REF!,"AAAAADcn/gk=")</f>
        <v>#REF!</v>
      </c>
      <c r="K12" t="e">
        <f>AND(#REF!,"AAAAADcn/go=")</f>
        <v>#REF!</v>
      </c>
      <c r="L12" t="e">
        <f>AND(#REF!,"AAAAADcn/gs=")</f>
        <v>#REF!</v>
      </c>
      <c r="M12" t="e">
        <f>IF(#REF!,"AAAAADcn/gw=",0)</f>
        <v>#REF!</v>
      </c>
      <c r="N12" t="e">
        <f>AND(#REF!,"AAAAADcn/g0=")</f>
        <v>#REF!</v>
      </c>
      <c r="O12" t="e">
        <f>AND(#REF!,"AAAAADcn/g4=")</f>
        <v>#REF!</v>
      </c>
      <c r="P12" t="e">
        <f>AND(#REF!,"AAAAADcn/g8=")</f>
        <v>#REF!</v>
      </c>
      <c r="Q12" t="e">
        <f>AND(#REF!,"AAAAADcn/hA=")</f>
        <v>#REF!</v>
      </c>
      <c r="R12" t="e">
        <f>AND(#REF!,"AAAAADcn/hE=")</f>
        <v>#REF!</v>
      </c>
      <c r="S12" t="e">
        <f>AND(#REF!,"AAAAADcn/hI=")</f>
        <v>#REF!</v>
      </c>
      <c r="T12" t="e">
        <f>AND(#REF!,"AAAAADcn/hM=")</f>
        <v>#REF!</v>
      </c>
      <c r="U12" t="e">
        <f>AND(#REF!,"AAAAADcn/hQ=")</f>
        <v>#REF!</v>
      </c>
      <c r="V12" t="e">
        <f>IF(#REF!,"AAAAADcn/hU=",0)</f>
        <v>#REF!</v>
      </c>
      <c r="W12" t="e">
        <f>AND(#REF!,"AAAAADcn/hY=")</f>
        <v>#REF!</v>
      </c>
      <c r="X12" t="e">
        <f>AND(#REF!,"AAAAADcn/hc=")</f>
        <v>#REF!</v>
      </c>
      <c r="Y12" t="e">
        <f>AND(#REF!,"AAAAADcn/hg=")</f>
        <v>#REF!</v>
      </c>
      <c r="Z12" t="e">
        <f>AND(#REF!,"AAAAADcn/hk=")</f>
        <v>#REF!</v>
      </c>
      <c r="AA12" t="e">
        <f>AND(#REF!,"AAAAADcn/ho=")</f>
        <v>#REF!</v>
      </c>
      <c r="AB12" t="e">
        <f>AND(#REF!,"AAAAADcn/hs=")</f>
        <v>#REF!</v>
      </c>
      <c r="AC12" t="e">
        <f>AND(#REF!,"AAAAADcn/hw=")</f>
        <v>#REF!</v>
      </c>
      <c r="AD12" t="e">
        <f>AND(#REF!,"AAAAADcn/h0=")</f>
        <v>#REF!</v>
      </c>
      <c r="AE12" t="e">
        <f>IF(#REF!,"AAAAADcn/h4=",0)</f>
        <v>#REF!</v>
      </c>
      <c r="AF12" t="e">
        <f>AND(#REF!,"AAAAADcn/h8=")</f>
        <v>#REF!</v>
      </c>
      <c r="AG12" t="e">
        <f>AND(#REF!,"AAAAADcn/iA=")</f>
        <v>#REF!</v>
      </c>
      <c r="AH12" t="e">
        <f>AND(#REF!,"AAAAADcn/iE=")</f>
        <v>#REF!</v>
      </c>
      <c r="AI12" t="e">
        <f>AND(#REF!,"AAAAADcn/iI=")</f>
        <v>#REF!</v>
      </c>
      <c r="AJ12" t="e">
        <f>AND(#REF!,"AAAAADcn/iM=")</f>
        <v>#REF!</v>
      </c>
      <c r="AK12" t="e">
        <f>AND(#REF!,"AAAAADcn/iQ=")</f>
        <v>#REF!</v>
      </c>
      <c r="AL12" t="e">
        <f>AND(#REF!,"AAAAADcn/iU=")</f>
        <v>#REF!</v>
      </c>
      <c r="AM12" t="e">
        <f>AND(#REF!,"AAAAADcn/iY=")</f>
        <v>#REF!</v>
      </c>
      <c r="AN12" t="e">
        <f>IF(#REF!,"AAAAADcn/ic=",0)</f>
        <v>#REF!</v>
      </c>
      <c r="AO12" t="e">
        <f>AND(#REF!,"AAAAADcn/ig=")</f>
        <v>#REF!</v>
      </c>
      <c r="AP12" t="e">
        <f>AND(#REF!,"AAAAADcn/ik=")</f>
        <v>#REF!</v>
      </c>
      <c r="AQ12" t="e">
        <f>AND(#REF!,"AAAAADcn/io=")</f>
        <v>#REF!</v>
      </c>
      <c r="AR12" t="e">
        <f>AND(#REF!,"AAAAADcn/is=")</f>
        <v>#REF!</v>
      </c>
      <c r="AS12" t="e">
        <f>AND(#REF!,"AAAAADcn/iw=")</f>
        <v>#REF!</v>
      </c>
      <c r="AT12" t="e">
        <f>AND(#REF!,"AAAAADcn/i0=")</f>
        <v>#REF!</v>
      </c>
      <c r="AU12" t="e">
        <f>AND(#REF!,"AAAAADcn/i4=")</f>
        <v>#REF!</v>
      </c>
      <c r="AV12" t="e">
        <f>AND(#REF!,"AAAAADcn/i8=")</f>
        <v>#REF!</v>
      </c>
      <c r="AW12" t="e">
        <f>IF(#REF!,"AAAAADcn/jA=",0)</f>
        <v>#REF!</v>
      </c>
      <c r="AX12" t="e">
        <f>AND(#REF!,"AAAAADcn/jE=")</f>
        <v>#REF!</v>
      </c>
      <c r="AY12" t="e">
        <f>AND(#REF!,"AAAAADcn/jI=")</f>
        <v>#REF!</v>
      </c>
      <c r="AZ12" t="e">
        <f>AND(#REF!,"AAAAADcn/jM=")</f>
        <v>#REF!</v>
      </c>
      <c r="BA12" t="e">
        <f>AND(#REF!,"AAAAADcn/jQ=")</f>
        <v>#REF!</v>
      </c>
      <c r="BB12" t="e">
        <f>AND(#REF!,"AAAAADcn/jU=")</f>
        <v>#REF!</v>
      </c>
      <c r="BC12" t="e">
        <f>AND(#REF!,"AAAAADcn/jY=")</f>
        <v>#REF!</v>
      </c>
      <c r="BD12" t="e">
        <f>AND(#REF!,"AAAAADcn/jc=")</f>
        <v>#REF!</v>
      </c>
      <c r="BE12" t="e">
        <f>AND(#REF!,"AAAAADcn/jg=")</f>
        <v>#REF!</v>
      </c>
      <c r="BF12" t="e">
        <f>IF(#REF!,"AAAAADcn/jk=",0)</f>
        <v>#REF!</v>
      </c>
      <c r="BG12" t="e">
        <f>AND(#REF!,"AAAAADcn/jo=")</f>
        <v>#REF!</v>
      </c>
      <c r="BH12" t="e">
        <f>AND(#REF!,"AAAAADcn/js=")</f>
        <v>#REF!</v>
      </c>
      <c r="BI12" t="e">
        <f>AND(#REF!,"AAAAADcn/jw=")</f>
        <v>#REF!</v>
      </c>
      <c r="BJ12" t="e">
        <f>AND(#REF!,"AAAAADcn/j0=")</f>
        <v>#REF!</v>
      </c>
      <c r="BK12" t="e">
        <f>AND(#REF!,"AAAAADcn/j4=")</f>
        <v>#REF!</v>
      </c>
      <c r="BL12" t="e">
        <f>AND(#REF!,"AAAAADcn/j8=")</f>
        <v>#REF!</v>
      </c>
      <c r="BM12" t="e">
        <f>AND(#REF!,"AAAAADcn/kA=")</f>
        <v>#REF!</v>
      </c>
      <c r="BN12" t="e">
        <f>AND(#REF!,"AAAAADcn/kE=")</f>
        <v>#REF!</v>
      </c>
      <c r="BO12" t="e">
        <f>IF(#REF!,"AAAAADcn/kI=",0)</f>
        <v>#REF!</v>
      </c>
      <c r="BP12" t="e">
        <f>AND(#REF!,"AAAAADcn/kM=")</f>
        <v>#REF!</v>
      </c>
      <c r="BQ12" t="e">
        <f>AND(#REF!,"AAAAADcn/kQ=")</f>
        <v>#REF!</v>
      </c>
      <c r="BR12" t="e">
        <f>AND(#REF!,"AAAAADcn/kU=")</f>
        <v>#REF!</v>
      </c>
      <c r="BS12" t="e">
        <f>AND(#REF!,"AAAAADcn/kY=")</f>
        <v>#REF!</v>
      </c>
      <c r="BT12" t="e">
        <f>AND(#REF!,"AAAAADcn/kc=")</f>
        <v>#REF!</v>
      </c>
      <c r="BU12" t="e">
        <f>AND(#REF!,"AAAAADcn/kg=")</f>
        <v>#REF!</v>
      </c>
      <c r="BV12" t="e">
        <f>AND(#REF!,"AAAAADcn/kk=")</f>
        <v>#REF!</v>
      </c>
      <c r="BW12" t="e">
        <f>AND(#REF!,"AAAAADcn/ko=")</f>
        <v>#REF!</v>
      </c>
      <c r="BX12" t="e">
        <f>IF(#REF!,"AAAAADcn/ks=",0)</f>
        <v>#REF!</v>
      </c>
      <c r="BY12" t="e">
        <f>AND(#REF!,"AAAAADcn/kw=")</f>
        <v>#REF!</v>
      </c>
      <c r="BZ12" t="e">
        <f>AND(#REF!,"AAAAADcn/k0=")</f>
        <v>#REF!</v>
      </c>
      <c r="CA12" t="e">
        <f>AND(#REF!,"AAAAADcn/k4=")</f>
        <v>#REF!</v>
      </c>
      <c r="CB12" t="e">
        <f>AND(#REF!,"AAAAADcn/k8=")</f>
        <v>#REF!</v>
      </c>
      <c r="CC12" t="e">
        <f>AND(#REF!,"AAAAADcn/lA=")</f>
        <v>#REF!</v>
      </c>
      <c r="CD12" t="e">
        <f>AND(#REF!,"AAAAADcn/lE=")</f>
        <v>#REF!</v>
      </c>
      <c r="CE12" t="e">
        <f>AND(#REF!,"AAAAADcn/lI=")</f>
        <v>#REF!</v>
      </c>
      <c r="CF12" t="e">
        <f>AND(#REF!,"AAAAADcn/lM=")</f>
        <v>#REF!</v>
      </c>
      <c r="CG12" t="e">
        <f>IF(#REF!,"AAAAADcn/lQ=",0)</f>
        <v>#REF!</v>
      </c>
      <c r="CH12" t="e">
        <f>AND(#REF!,"AAAAADcn/lU=")</f>
        <v>#REF!</v>
      </c>
      <c r="CI12" t="e">
        <f>AND(#REF!,"AAAAADcn/lY=")</f>
        <v>#REF!</v>
      </c>
      <c r="CJ12" t="e">
        <f>AND(#REF!,"AAAAADcn/lc=")</f>
        <v>#REF!</v>
      </c>
      <c r="CK12" t="e">
        <f>AND(#REF!,"AAAAADcn/lg=")</f>
        <v>#REF!</v>
      </c>
      <c r="CL12" t="e">
        <f>AND(#REF!,"AAAAADcn/lk=")</f>
        <v>#REF!</v>
      </c>
      <c r="CM12" t="e">
        <f>AND(#REF!,"AAAAADcn/lo=")</f>
        <v>#REF!</v>
      </c>
      <c r="CN12" t="e">
        <f>AND(#REF!,"AAAAADcn/ls=")</f>
        <v>#REF!</v>
      </c>
      <c r="CO12" t="e">
        <f>AND(#REF!,"AAAAADcn/lw=")</f>
        <v>#REF!</v>
      </c>
      <c r="CP12" t="e">
        <f>IF(#REF!,"AAAAADcn/l0=",0)</f>
        <v>#REF!</v>
      </c>
      <c r="CQ12" t="e">
        <f>AND(#REF!,"AAAAADcn/l4=")</f>
        <v>#REF!</v>
      </c>
      <c r="CR12" t="e">
        <f>AND(#REF!,"AAAAADcn/l8=")</f>
        <v>#REF!</v>
      </c>
      <c r="CS12" t="e">
        <f>AND(#REF!,"AAAAADcn/mA=")</f>
        <v>#REF!</v>
      </c>
      <c r="CT12" t="e">
        <f>AND(#REF!,"AAAAADcn/mE=")</f>
        <v>#REF!</v>
      </c>
      <c r="CU12" t="e">
        <f>AND(#REF!,"AAAAADcn/mI=")</f>
        <v>#REF!</v>
      </c>
      <c r="CV12" t="e">
        <f>AND(#REF!,"AAAAADcn/mM=")</f>
        <v>#REF!</v>
      </c>
      <c r="CW12" t="e">
        <f>AND(#REF!,"AAAAADcn/mQ=")</f>
        <v>#REF!</v>
      </c>
      <c r="CX12" t="e">
        <f>AND(#REF!,"AAAAADcn/mU=")</f>
        <v>#REF!</v>
      </c>
      <c r="CY12" t="e">
        <f>IF(#REF!,"AAAAADcn/mY=",0)</f>
        <v>#REF!</v>
      </c>
      <c r="CZ12" t="e">
        <f>AND(#REF!,"AAAAADcn/mc=")</f>
        <v>#REF!</v>
      </c>
      <c r="DA12" t="e">
        <f>AND(#REF!,"AAAAADcn/mg=")</f>
        <v>#REF!</v>
      </c>
      <c r="DB12" t="e">
        <f>AND(#REF!,"AAAAADcn/mk=")</f>
        <v>#REF!</v>
      </c>
      <c r="DC12" t="e">
        <f>AND(#REF!,"AAAAADcn/mo=")</f>
        <v>#REF!</v>
      </c>
      <c r="DD12" t="e">
        <f>AND(#REF!,"AAAAADcn/ms=")</f>
        <v>#REF!</v>
      </c>
      <c r="DE12" t="e">
        <f>AND(#REF!,"AAAAADcn/mw=")</f>
        <v>#REF!</v>
      </c>
      <c r="DF12" t="e">
        <f>AND(#REF!,"AAAAADcn/m0=")</f>
        <v>#REF!</v>
      </c>
      <c r="DG12" t="e">
        <f>AND(#REF!,"AAAAADcn/m4=")</f>
        <v>#REF!</v>
      </c>
      <c r="DH12" t="e">
        <f>IF(#REF!,"AAAAADcn/m8=",0)</f>
        <v>#REF!</v>
      </c>
      <c r="DI12" t="e">
        <f>AND(#REF!,"AAAAADcn/nA=")</f>
        <v>#REF!</v>
      </c>
      <c r="DJ12" t="e">
        <f>AND(#REF!,"AAAAADcn/nE=")</f>
        <v>#REF!</v>
      </c>
      <c r="DK12" t="e">
        <f>AND(#REF!,"AAAAADcn/nI=")</f>
        <v>#REF!</v>
      </c>
      <c r="DL12" t="e">
        <f>AND(#REF!,"AAAAADcn/nM=")</f>
        <v>#REF!</v>
      </c>
      <c r="DM12" t="e">
        <f>AND(#REF!,"AAAAADcn/nQ=")</f>
        <v>#REF!</v>
      </c>
      <c r="DN12" t="e">
        <f>AND(#REF!,"AAAAADcn/nU=")</f>
        <v>#REF!</v>
      </c>
      <c r="DO12" t="e">
        <f>AND(#REF!,"AAAAADcn/nY=")</f>
        <v>#REF!</v>
      </c>
      <c r="DP12" t="e">
        <f>AND(#REF!,"AAAAADcn/nc=")</f>
        <v>#REF!</v>
      </c>
      <c r="DQ12" t="e">
        <f>IF(#REF!,"AAAAADcn/ng=",0)</f>
        <v>#REF!</v>
      </c>
      <c r="DR12" t="e">
        <f>AND(#REF!,"AAAAADcn/nk=")</f>
        <v>#REF!</v>
      </c>
      <c r="DS12" t="e">
        <f>AND(#REF!,"AAAAADcn/no=")</f>
        <v>#REF!</v>
      </c>
      <c r="DT12" t="e">
        <f>AND(#REF!,"AAAAADcn/ns=")</f>
        <v>#REF!</v>
      </c>
      <c r="DU12" t="e">
        <f>AND(#REF!,"AAAAADcn/nw=")</f>
        <v>#REF!</v>
      </c>
      <c r="DV12" t="e">
        <f>AND(#REF!,"AAAAADcn/n0=")</f>
        <v>#REF!</v>
      </c>
      <c r="DW12" t="e">
        <f>AND(#REF!,"AAAAADcn/n4=")</f>
        <v>#REF!</v>
      </c>
      <c r="DX12" t="e">
        <f>AND(#REF!,"AAAAADcn/n8=")</f>
        <v>#REF!</v>
      </c>
      <c r="DY12" t="e">
        <f>AND(#REF!,"AAAAADcn/oA=")</f>
        <v>#REF!</v>
      </c>
      <c r="DZ12" t="e">
        <f>IF(#REF!,"AAAAADcn/oE=",0)</f>
        <v>#REF!</v>
      </c>
      <c r="EA12" t="e">
        <f>AND(#REF!,"AAAAADcn/oI=")</f>
        <v>#REF!</v>
      </c>
      <c r="EB12" t="e">
        <f>AND(#REF!,"AAAAADcn/oM=")</f>
        <v>#REF!</v>
      </c>
      <c r="EC12" t="e">
        <f>AND(#REF!,"AAAAADcn/oQ=")</f>
        <v>#REF!</v>
      </c>
      <c r="ED12" t="e">
        <f>AND(#REF!,"AAAAADcn/oU=")</f>
        <v>#REF!</v>
      </c>
      <c r="EE12" t="e">
        <f>AND(#REF!,"AAAAADcn/oY=")</f>
        <v>#REF!</v>
      </c>
      <c r="EF12" t="e">
        <f>AND(#REF!,"AAAAADcn/oc=")</f>
        <v>#REF!</v>
      </c>
      <c r="EG12" t="e">
        <f>AND(#REF!,"AAAAADcn/og=")</f>
        <v>#REF!</v>
      </c>
      <c r="EH12" t="e">
        <f>AND(#REF!,"AAAAADcn/ok=")</f>
        <v>#REF!</v>
      </c>
      <c r="EI12" t="e">
        <f>IF(#REF!,"AAAAADcn/oo=",0)</f>
        <v>#REF!</v>
      </c>
      <c r="EJ12" t="e">
        <f>AND(#REF!,"AAAAADcn/os=")</f>
        <v>#REF!</v>
      </c>
      <c r="EK12" t="e">
        <f>AND(#REF!,"AAAAADcn/ow=")</f>
        <v>#REF!</v>
      </c>
      <c r="EL12" t="e">
        <f>AND(#REF!,"AAAAADcn/o0=")</f>
        <v>#REF!</v>
      </c>
      <c r="EM12" t="e">
        <f>AND(#REF!,"AAAAADcn/o4=")</f>
        <v>#REF!</v>
      </c>
      <c r="EN12" t="e">
        <f>AND(#REF!,"AAAAADcn/o8=")</f>
        <v>#REF!</v>
      </c>
      <c r="EO12" t="e">
        <f>AND(#REF!,"AAAAADcn/pA=")</f>
        <v>#REF!</v>
      </c>
      <c r="EP12" t="e">
        <f>AND(#REF!,"AAAAADcn/pE=")</f>
        <v>#REF!</v>
      </c>
      <c r="EQ12" t="e">
        <f>AND(#REF!,"AAAAADcn/pI=")</f>
        <v>#REF!</v>
      </c>
      <c r="ER12" t="e">
        <f>IF(#REF!,"AAAAADcn/pM=",0)</f>
        <v>#REF!</v>
      </c>
      <c r="ES12" t="e">
        <f>AND(#REF!,"AAAAADcn/pQ=")</f>
        <v>#REF!</v>
      </c>
      <c r="ET12" t="e">
        <f>AND(#REF!,"AAAAADcn/pU=")</f>
        <v>#REF!</v>
      </c>
      <c r="EU12" t="e">
        <f>AND(#REF!,"AAAAADcn/pY=")</f>
        <v>#REF!</v>
      </c>
      <c r="EV12" t="e">
        <f>AND(#REF!,"AAAAADcn/pc=")</f>
        <v>#REF!</v>
      </c>
      <c r="EW12" t="e">
        <f>AND(#REF!,"AAAAADcn/pg=")</f>
        <v>#REF!</v>
      </c>
      <c r="EX12" t="e">
        <f>AND(#REF!,"AAAAADcn/pk=")</f>
        <v>#REF!</v>
      </c>
      <c r="EY12" t="e">
        <f>AND(#REF!,"AAAAADcn/po=")</f>
        <v>#REF!</v>
      </c>
      <c r="EZ12" t="e">
        <f>AND(#REF!,"AAAAADcn/ps=")</f>
        <v>#REF!</v>
      </c>
      <c r="FA12" t="e">
        <f>IF(#REF!,"AAAAADcn/pw=",0)</f>
        <v>#REF!</v>
      </c>
      <c r="FB12" t="e">
        <f>AND(#REF!,"AAAAADcn/p0=")</f>
        <v>#REF!</v>
      </c>
      <c r="FC12" t="e">
        <f>AND(#REF!,"AAAAADcn/p4=")</f>
        <v>#REF!</v>
      </c>
      <c r="FD12" t="e">
        <f>AND(#REF!,"AAAAADcn/p8=")</f>
        <v>#REF!</v>
      </c>
      <c r="FE12" t="e">
        <f>AND(#REF!,"AAAAADcn/qA=")</f>
        <v>#REF!</v>
      </c>
      <c r="FF12" t="e">
        <f>AND(#REF!,"AAAAADcn/qE=")</f>
        <v>#REF!</v>
      </c>
      <c r="FG12" t="e">
        <f>AND(#REF!,"AAAAADcn/qI=")</f>
        <v>#REF!</v>
      </c>
      <c r="FH12" t="e">
        <f>AND(#REF!,"AAAAADcn/qM=")</f>
        <v>#REF!</v>
      </c>
      <c r="FI12" t="e">
        <f>AND(#REF!,"AAAAADcn/qQ=")</f>
        <v>#REF!</v>
      </c>
      <c r="FJ12" t="e">
        <f>IF(#REF!,"AAAAADcn/qU=",0)</f>
        <v>#REF!</v>
      </c>
      <c r="FK12" t="e">
        <f>AND(#REF!,"AAAAADcn/qY=")</f>
        <v>#REF!</v>
      </c>
      <c r="FL12" t="e">
        <f>AND(#REF!,"AAAAADcn/qc=")</f>
        <v>#REF!</v>
      </c>
      <c r="FM12" t="e">
        <f>AND(#REF!,"AAAAADcn/qg=")</f>
        <v>#REF!</v>
      </c>
      <c r="FN12" t="e">
        <f>AND(#REF!,"AAAAADcn/qk=")</f>
        <v>#REF!</v>
      </c>
      <c r="FO12" t="e">
        <f>AND(#REF!,"AAAAADcn/qo=")</f>
        <v>#REF!</v>
      </c>
      <c r="FP12" t="e">
        <f>AND(#REF!,"AAAAADcn/qs=")</f>
        <v>#REF!</v>
      </c>
      <c r="FQ12" t="e">
        <f>AND(#REF!,"AAAAADcn/qw=")</f>
        <v>#REF!</v>
      </c>
      <c r="FR12" t="e">
        <f>AND(#REF!,"AAAAADcn/q0=")</f>
        <v>#REF!</v>
      </c>
      <c r="FS12" t="e">
        <f>IF(#REF!,"AAAAADcn/q4=",0)</f>
        <v>#REF!</v>
      </c>
      <c r="FT12" t="e">
        <f>AND(#REF!,"AAAAADcn/q8=")</f>
        <v>#REF!</v>
      </c>
      <c r="FU12" t="e">
        <f>AND(#REF!,"AAAAADcn/rA=")</f>
        <v>#REF!</v>
      </c>
      <c r="FV12" t="e">
        <f>AND(#REF!,"AAAAADcn/rE=")</f>
        <v>#REF!</v>
      </c>
      <c r="FW12" t="e">
        <f>AND(#REF!,"AAAAADcn/rI=")</f>
        <v>#REF!</v>
      </c>
      <c r="FX12" t="e">
        <f>AND(#REF!,"AAAAADcn/rM=")</f>
        <v>#REF!</v>
      </c>
      <c r="FY12" t="e">
        <f>AND(#REF!,"AAAAADcn/rQ=")</f>
        <v>#REF!</v>
      </c>
      <c r="FZ12" t="e">
        <f>AND(#REF!,"AAAAADcn/rU=")</f>
        <v>#REF!</v>
      </c>
      <c r="GA12" t="e">
        <f>AND(#REF!,"AAAAADcn/rY=")</f>
        <v>#REF!</v>
      </c>
      <c r="GB12" t="e">
        <f>IF(#REF!,"AAAAADcn/rc=",0)</f>
        <v>#REF!</v>
      </c>
      <c r="GC12" t="e">
        <f>AND(#REF!,"AAAAADcn/rg=")</f>
        <v>#REF!</v>
      </c>
      <c r="GD12" t="e">
        <f>AND(#REF!,"AAAAADcn/rk=")</f>
        <v>#REF!</v>
      </c>
      <c r="GE12" t="e">
        <f>AND(#REF!,"AAAAADcn/ro=")</f>
        <v>#REF!</v>
      </c>
      <c r="GF12" t="e">
        <f>AND(#REF!,"AAAAADcn/rs=")</f>
        <v>#REF!</v>
      </c>
      <c r="GG12" t="e">
        <f>AND(#REF!,"AAAAADcn/rw=")</f>
        <v>#REF!</v>
      </c>
      <c r="GH12" t="e">
        <f>AND(#REF!,"AAAAADcn/r0=")</f>
        <v>#REF!</v>
      </c>
      <c r="GI12" t="e">
        <f>AND(#REF!,"AAAAADcn/r4=")</f>
        <v>#REF!</v>
      </c>
      <c r="GJ12" t="e">
        <f>AND(#REF!,"AAAAADcn/r8=")</f>
        <v>#REF!</v>
      </c>
      <c r="GK12" t="e">
        <f>IF(#REF!,"AAAAADcn/sA=",0)</f>
        <v>#REF!</v>
      </c>
      <c r="GL12" t="e">
        <f>AND(#REF!,"AAAAADcn/sE=")</f>
        <v>#REF!</v>
      </c>
      <c r="GM12" t="e">
        <f>AND(#REF!,"AAAAADcn/sI=")</f>
        <v>#REF!</v>
      </c>
      <c r="GN12" t="e">
        <f>AND(#REF!,"AAAAADcn/sM=")</f>
        <v>#REF!</v>
      </c>
      <c r="GO12" t="e">
        <f>AND(#REF!,"AAAAADcn/sQ=")</f>
        <v>#REF!</v>
      </c>
      <c r="GP12" t="e">
        <f>AND(#REF!,"AAAAADcn/sU=")</f>
        <v>#REF!</v>
      </c>
      <c r="GQ12" t="e">
        <f>AND(#REF!,"AAAAADcn/sY=")</f>
        <v>#REF!</v>
      </c>
      <c r="GR12" t="e">
        <f>AND(#REF!,"AAAAADcn/sc=")</f>
        <v>#REF!</v>
      </c>
      <c r="GS12" t="e">
        <f>AND(#REF!,"AAAAADcn/sg=")</f>
        <v>#REF!</v>
      </c>
      <c r="GT12" t="e">
        <f>IF(#REF!,"AAAAADcn/sk=",0)</f>
        <v>#REF!</v>
      </c>
      <c r="GU12" t="e">
        <f>AND(#REF!,"AAAAADcn/so=")</f>
        <v>#REF!</v>
      </c>
      <c r="GV12" t="e">
        <f>AND(#REF!,"AAAAADcn/ss=")</f>
        <v>#REF!</v>
      </c>
      <c r="GW12" t="e">
        <f>AND(#REF!,"AAAAADcn/sw=")</f>
        <v>#REF!</v>
      </c>
      <c r="GX12" t="e">
        <f>AND(#REF!,"AAAAADcn/s0=")</f>
        <v>#REF!</v>
      </c>
      <c r="GY12" t="e">
        <f>AND(#REF!,"AAAAADcn/s4=")</f>
        <v>#REF!</v>
      </c>
      <c r="GZ12" t="e">
        <f>AND(#REF!,"AAAAADcn/s8=")</f>
        <v>#REF!</v>
      </c>
      <c r="HA12" t="e">
        <f>AND(#REF!,"AAAAADcn/tA=")</f>
        <v>#REF!</v>
      </c>
      <c r="HB12" t="e">
        <f>AND(#REF!,"AAAAADcn/tE=")</f>
        <v>#REF!</v>
      </c>
      <c r="HC12" t="e">
        <f>IF(#REF!,"AAAAADcn/tI=",0)</f>
        <v>#REF!</v>
      </c>
      <c r="HD12" t="e">
        <f>AND(#REF!,"AAAAADcn/tM=")</f>
        <v>#REF!</v>
      </c>
      <c r="HE12" t="e">
        <f>AND(#REF!,"AAAAADcn/tQ=")</f>
        <v>#REF!</v>
      </c>
      <c r="HF12" t="e">
        <f>AND(#REF!,"AAAAADcn/tU=")</f>
        <v>#REF!</v>
      </c>
      <c r="HG12" t="e">
        <f>AND(#REF!,"AAAAADcn/tY=")</f>
        <v>#REF!</v>
      </c>
      <c r="HH12" t="e">
        <f>AND(#REF!,"AAAAADcn/tc=")</f>
        <v>#REF!</v>
      </c>
      <c r="HI12" t="e">
        <f>AND(#REF!,"AAAAADcn/tg=")</f>
        <v>#REF!</v>
      </c>
      <c r="HJ12" t="e">
        <f>AND(#REF!,"AAAAADcn/tk=")</f>
        <v>#REF!</v>
      </c>
      <c r="HK12" t="e">
        <f>AND(#REF!,"AAAAADcn/to=")</f>
        <v>#REF!</v>
      </c>
      <c r="HL12" t="e">
        <f>IF(#REF!,"AAAAADcn/ts=",0)</f>
        <v>#REF!</v>
      </c>
      <c r="HM12" t="e">
        <f>AND(#REF!,"AAAAADcn/tw=")</f>
        <v>#REF!</v>
      </c>
      <c r="HN12" t="e">
        <f>AND(#REF!,"AAAAADcn/t0=")</f>
        <v>#REF!</v>
      </c>
      <c r="HO12" t="e">
        <f>AND(#REF!,"AAAAADcn/t4=")</f>
        <v>#REF!</v>
      </c>
      <c r="HP12" t="e">
        <f>AND(#REF!,"AAAAADcn/t8=")</f>
        <v>#REF!</v>
      </c>
      <c r="HQ12" t="e">
        <f>AND(#REF!,"AAAAADcn/uA=")</f>
        <v>#REF!</v>
      </c>
      <c r="HR12" t="e">
        <f>AND(#REF!,"AAAAADcn/uE=")</f>
        <v>#REF!</v>
      </c>
      <c r="HS12" t="e">
        <f>AND(#REF!,"AAAAADcn/uI=")</f>
        <v>#REF!</v>
      </c>
      <c r="HT12" t="e">
        <f>AND(#REF!,"AAAAADcn/uM=")</f>
        <v>#REF!</v>
      </c>
      <c r="HU12" t="e">
        <f>IF(#REF!,"AAAAADcn/uQ=",0)</f>
        <v>#REF!</v>
      </c>
      <c r="HV12" t="e">
        <f>AND(#REF!,"AAAAADcn/uU=")</f>
        <v>#REF!</v>
      </c>
      <c r="HW12" t="e">
        <f>AND(#REF!,"AAAAADcn/uY=")</f>
        <v>#REF!</v>
      </c>
      <c r="HX12" t="e">
        <f>AND(#REF!,"AAAAADcn/uc=")</f>
        <v>#REF!</v>
      </c>
      <c r="HY12" t="e">
        <f>AND(#REF!,"AAAAADcn/ug=")</f>
        <v>#REF!</v>
      </c>
      <c r="HZ12" t="e">
        <f>AND(#REF!,"AAAAADcn/uk=")</f>
        <v>#REF!</v>
      </c>
      <c r="IA12" t="e">
        <f>AND(#REF!,"AAAAADcn/uo=")</f>
        <v>#REF!</v>
      </c>
      <c r="IB12" t="e">
        <f>AND(#REF!,"AAAAADcn/us=")</f>
        <v>#REF!</v>
      </c>
      <c r="IC12" t="e">
        <f>AND(#REF!,"AAAAADcn/uw=")</f>
        <v>#REF!</v>
      </c>
      <c r="ID12" t="e">
        <f>IF(#REF!,"AAAAADcn/u0=",0)</f>
        <v>#REF!</v>
      </c>
      <c r="IE12" t="e">
        <f>AND(#REF!,"AAAAADcn/u4=")</f>
        <v>#REF!</v>
      </c>
      <c r="IF12" t="e">
        <f>AND(#REF!,"AAAAADcn/u8=")</f>
        <v>#REF!</v>
      </c>
      <c r="IG12" t="e">
        <f>AND(#REF!,"AAAAADcn/vA=")</f>
        <v>#REF!</v>
      </c>
      <c r="IH12" t="e">
        <f>AND(#REF!,"AAAAADcn/vE=")</f>
        <v>#REF!</v>
      </c>
      <c r="II12" t="e">
        <f>AND(#REF!,"AAAAADcn/vI=")</f>
        <v>#REF!</v>
      </c>
      <c r="IJ12" t="e">
        <f>AND(#REF!,"AAAAADcn/vM=")</f>
        <v>#REF!</v>
      </c>
      <c r="IK12" t="e">
        <f>AND(#REF!,"AAAAADcn/vQ=")</f>
        <v>#REF!</v>
      </c>
      <c r="IL12" t="e">
        <f>AND(#REF!,"AAAAADcn/vU=")</f>
        <v>#REF!</v>
      </c>
      <c r="IM12" t="e">
        <f>IF(#REF!,"AAAAADcn/vY=",0)</f>
        <v>#REF!</v>
      </c>
      <c r="IN12" t="e">
        <f>AND(#REF!,"AAAAADcn/vc=")</f>
        <v>#REF!</v>
      </c>
      <c r="IO12" t="e">
        <f>AND(#REF!,"AAAAADcn/vg=")</f>
        <v>#REF!</v>
      </c>
      <c r="IP12" t="e">
        <f>AND(#REF!,"AAAAADcn/vk=")</f>
        <v>#REF!</v>
      </c>
      <c r="IQ12" t="e">
        <f>AND(#REF!,"AAAAADcn/vo=")</f>
        <v>#REF!</v>
      </c>
      <c r="IR12" t="e">
        <f>AND(#REF!,"AAAAADcn/vs=")</f>
        <v>#REF!</v>
      </c>
      <c r="IS12" t="e">
        <f>AND(#REF!,"AAAAADcn/vw=")</f>
        <v>#REF!</v>
      </c>
      <c r="IT12" t="e">
        <f>AND(#REF!,"AAAAADcn/v0=")</f>
        <v>#REF!</v>
      </c>
      <c r="IU12" t="e">
        <f>AND(#REF!,"AAAAADcn/v4=")</f>
        <v>#REF!</v>
      </c>
      <c r="IV12" t="e">
        <f>IF(#REF!,"AAAAADcn/v8=",0)</f>
        <v>#REF!</v>
      </c>
    </row>
    <row r="13" spans="1:256" x14ac:dyDescent="0.2">
      <c r="A13" t="e">
        <f>AND(#REF!,"AAAAAD8++gA=")</f>
        <v>#REF!</v>
      </c>
      <c r="B13" t="e">
        <f>AND(#REF!,"AAAAAD8++gE=")</f>
        <v>#REF!</v>
      </c>
      <c r="C13" t="e">
        <f>AND(#REF!,"AAAAAD8++gI=")</f>
        <v>#REF!</v>
      </c>
      <c r="D13" t="e">
        <f>AND(#REF!,"AAAAAD8++gM=")</f>
        <v>#REF!</v>
      </c>
      <c r="E13" t="e">
        <f>AND(#REF!,"AAAAAD8++gQ=")</f>
        <v>#REF!</v>
      </c>
      <c r="F13" t="e">
        <f>AND(#REF!,"AAAAAD8++gU=")</f>
        <v>#REF!</v>
      </c>
      <c r="G13" t="e">
        <f>AND(#REF!,"AAAAAD8++gY=")</f>
        <v>#REF!</v>
      </c>
      <c r="H13" t="e">
        <f>AND(#REF!,"AAAAAD8++gc=")</f>
        <v>#REF!</v>
      </c>
      <c r="I13" t="e">
        <f>IF(#REF!,"AAAAAD8++gg=",0)</f>
        <v>#REF!</v>
      </c>
      <c r="J13" t="e">
        <f>AND(#REF!,"AAAAAD8++gk=")</f>
        <v>#REF!</v>
      </c>
      <c r="K13" t="e">
        <f>AND(#REF!,"AAAAAD8++go=")</f>
        <v>#REF!</v>
      </c>
      <c r="L13" t="e">
        <f>AND(#REF!,"AAAAAD8++gs=")</f>
        <v>#REF!</v>
      </c>
      <c r="M13" t="e">
        <f>AND(#REF!,"AAAAAD8++gw=")</f>
        <v>#REF!</v>
      </c>
      <c r="N13" t="e">
        <f>AND(#REF!,"AAAAAD8++g0=")</f>
        <v>#REF!</v>
      </c>
      <c r="O13" t="e">
        <f>AND(#REF!,"AAAAAD8++g4=")</f>
        <v>#REF!</v>
      </c>
      <c r="P13" t="e">
        <f>AND(#REF!,"AAAAAD8++g8=")</f>
        <v>#REF!</v>
      </c>
      <c r="Q13" t="e">
        <f>AND(#REF!,"AAAAAD8++hA=")</f>
        <v>#REF!</v>
      </c>
      <c r="R13" t="e">
        <f>IF(#REF!,"AAAAAD8++hE=",0)</f>
        <v>#REF!</v>
      </c>
      <c r="S13" t="e">
        <f>AND(#REF!,"AAAAAD8++hI=")</f>
        <v>#REF!</v>
      </c>
      <c r="T13" t="e">
        <f>AND(#REF!,"AAAAAD8++hM=")</f>
        <v>#REF!</v>
      </c>
      <c r="U13" t="e">
        <f>AND(#REF!,"AAAAAD8++hQ=")</f>
        <v>#REF!</v>
      </c>
      <c r="V13" t="e">
        <f>AND(#REF!,"AAAAAD8++hU=")</f>
        <v>#REF!</v>
      </c>
      <c r="W13" t="e">
        <f>AND(#REF!,"AAAAAD8++hY=")</f>
        <v>#REF!</v>
      </c>
      <c r="X13" t="e">
        <f>AND(#REF!,"AAAAAD8++hc=")</f>
        <v>#REF!</v>
      </c>
      <c r="Y13" t="e">
        <f>AND(#REF!,"AAAAAD8++hg=")</f>
        <v>#REF!</v>
      </c>
      <c r="Z13" t="e">
        <f>AND(#REF!,"AAAAAD8++hk=")</f>
        <v>#REF!</v>
      </c>
      <c r="AA13" t="e">
        <f>IF(#REF!,"AAAAAD8++ho=",0)</f>
        <v>#REF!</v>
      </c>
      <c r="AB13" t="e">
        <f>AND(#REF!,"AAAAAD8++hs=")</f>
        <v>#REF!</v>
      </c>
      <c r="AC13" t="e">
        <f>AND(#REF!,"AAAAAD8++hw=")</f>
        <v>#REF!</v>
      </c>
      <c r="AD13" t="e">
        <f>AND(#REF!,"AAAAAD8++h0=")</f>
        <v>#REF!</v>
      </c>
      <c r="AE13" t="e">
        <f>AND(#REF!,"AAAAAD8++h4=")</f>
        <v>#REF!</v>
      </c>
      <c r="AF13" t="e">
        <f>AND(#REF!,"AAAAAD8++h8=")</f>
        <v>#REF!</v>
      </c>
      <c r="AG13" t="e">
        <f>AND(#REF!,"AAAAAD8++iA=")</f>
        <v>#REF!</v>
      </c>
      <c r="AH13" t="e">
        <f>AND(#REF!,"AAAAAD8++iE=")</f>
        <v>#REF!</v>
      </c>
      <c r="AI13" t="e">
        <f>AND(#REF!,"AAAAAD8++iI=")</f>
        <v>#REF!</v>
      </c>
      <c r="AJ13" t="e">
        <f>IF(#REF!,"AAAAAD8++iM=",0)</f>
        <v>#REF!</v>
      </c>
      <c r="AK13" t="e">
        <f>AND(#REF!,"AAAAAD8++iQ=")</f>
        <v>#REF!</v>
      </c>
      <c r="AL13" t="e">
        <f>AND(#REF!,"AAAAAD8++iU=")</f>
        <v>#REF!</v>
      </c>
      <c r="AM13" t="e">
        <f>AND(#REF!,"AAAAAD8++iY=")</f>
        <v>#REF!</v>
      </c>
      <c r="AN13" t="e">
        <f>AND(#REF!,"AAAAAD8++ic=")</f>
        <v>#REF!</v>
      </c>
      <c r="AO13" t="e">
        <f>AND(#REF!,"AAAAAD8++ig=")</f>
        <v>#REF!</v>
      </c>
      <c r="AP13" t="e">
        <f>AND(#REF!,"AAAAAD8++ik=")</f>
        <v>#REF!</v>
      </c>
      <c r="AQ13" t="e">
        <f>AND(#REF!,"AAAAAD8++io=")</f>
        <v>#REF!</v>
      </c>
      <c r="AR13" t="e">
        <f>AND(#REF!,"AAAAAD8++is=")</f>
        <v>#REF!</v>
      </c>
      <c r="AS13" t="e">
        <f>IF(#REF!,"AAAAAD8++iw=",0)</f>
        <v>#REF!</v>
      </c>
      <c r="AT13" t="e">
        <f>AND(#REF!,"AAAAAD8++i0=")</f>
        <v>#REF!</v>
      </c>
      <c r="AU13" t="e">
        <f>AND(#REF!,"AAAAAD8++i4=")</f>
        <v>#REF!</v>
      </c>
      <c r="AV13" t="e">
        <f>AND(#REF!,"AAAAAD8++i8=")</f>
        <v>#REF!</v>
      </c>
      <c r="AW13" t="e">
        <f>AND(#REF!,"AAAAAD8++jA=")</f>
        <v>#REF!</v>
      </c>
      <c r="AX13" t="e">
        <f>AND(#REF!,"AAAAAD8++jE=")</f>
        <v>#REF!</v>
      </c>
      <c r="AY13" t="e">
        <f>AND(#REF!,"AAAAAD8++jI=")</f>
        <v>#REF!</v>
      </c>
      <c r="AZ13" t="e">
        <f>AND(#REF!,"AAAAAD8++jM=")</f>
        <v>#REF!</v>
      </c>
      <c r="BA13" t="e">
        <f>AND(#REF!,"AAAAAD8++jQ=")</f>
        <v>#REF!</v>
      </c>
      <c r="BB13" t="e">
        <f>IF(#REF!,"AAAAAD8++jU=",0)</f>
        <v>#REF!</v>
      </c>
      <c r="BC13" t="e">
        <f>AND(#REF!,"AAAAAD8++jY=")</f>
        <v>#REF!</v>
      </c>
      <c r="BD13" t="e">
        <f>AND(#REF!,"AAAAAD8++jc=")</f>
        <v>#REF!</v>
      </c>
      <c r="BE13" t="e">
        <f>AND(#REF!,"AAAAAD8++jg=")</f>
        <v>#REF!</v>
      </c>
      <c r="BF13" t="e">
        <f>AND(#REF!,"AAAAAD8++jk=")</f>
        <v>#REF!</v>
      </c>
      <c r="BG13" t="e">
        <f>AND(#REF!,"AAAAAD8++jo=")</f>
        <v>#REF!</v>
      </c>
      <c r="BH13" t="e">
        <f>AND(#REF!,"AAAAAD8++js=")</f>
        <v>#REF!</v>
      </c>
      <c r="BI13" t="e">
        <f>AND(#REF!,"AAAAAD8++jw=")</f>
        <v>#REF!</v>
      </c>
      <c r="BJ13" t="e">
        <f>AND(#REF!,"AAAAAD8++j0=")</f>
        <v>#REF!</v>
      </c>
      <c r="BK13" t="e">
        <f>IF(#REF!,"AAAAAD8++j4=",0)</f>
        <v>#REF!</v>
      </c>
      <c r="BL13" t="e">
        <f>AND(#REF!,"AAAAAD8++j8=")</f>
        <v>#REF!</v>
      </c>
      <c r="BM13" t="e">
        <f>AND(#REF!,"AAAAAD8++kA=")</f>
        <v>#REF!</v>
      </c>
      <c r="BN13" t="e">
        <f>AND(#REF!,"AAAAAD8++kE=")</f>
        <v>#REF!</v>
      </c>
      <c r="BO13" t="e">
        <f>AND(#REF!,"AAAAAD8++kI=")</f>
        <v>#REF!</v>
      </c>
      <c r="BP13" t="e">
        <f>AND(#REF!,"AAAAAD8++kM=")</f>
        <v>#REF!</v>
      </c>
      <c r="BQ13" t="e">
        <f>AND(#REF!,"AAAAAD8++kQ=")</f>
        <v>#REF!</v>
      </c>
      <c r="BR13" t="e">
        <f>AND(#REF!,"AAAAAD8++kU=")</f>
        <v>#REF!</v>
      </c>
      <c r="BS13" t="e">
        <f>AND(#REF!,"AAAAAD8++kY=")</f>
        <v>#REF!</v>
      </c>
      <c r="BT13" t="e">
        <f>IF(#REF!,"AAAAAD8++kc=",0)</f>
        <v>#REF!</v>
      </c>
      <c r="BU13" t="e">
        <f>AND(#REF!,"AAAAAD8++kg=")</f>
        <v>#REF!</v>
      </c>
      <c r="BV13" t="e">
        <f>AND(#REF!,"AAAAAD8++kk=")</f>
        <v>#REF!</v>
      </c>
      <c r="BW13" t="e">
        <f>AND(#REF!,"AAAAAD8++ko=")</f>
        <v>#REF!</v>
      </c>
      <c r="BX13" t="e">
        <f>AND(#REF!,"AAAAAD8++ks=")</f>
        <v>#REF!</v>
      </c>
      <c r="BY13" t="e">
        <f>AND(#REF!,"AAAAAD8++kw=")</f>
        <v>#REF!</v>
      </c>
      <c r="BZ13" t="e">
        <f>AND(#REF!,"AAAAAD8++k0=")</f>
        <v>#REF!</v>
      </c>
      <c r="CA13" t="e">
        <f>AND(#REF!,"AAAAAD8++k4=")</f>
        <v>#REF!</v>
      </c>
      <c r="CB13" t="e">
        <f>AND(#REF!,"AAAAAD8++k8=")</f>
        <v>#REF!</v>
      </c>
      <c r="CC13" t="e">
        <f>IF(#REF!,"AAAAAD8++lA=",0)</f>
        <v>#REF!</v>
      </c>
      <c r="CD13" t="e">
        <f>AND(#REF!,"AAAAAD8++lE=")</f>
        <v>#REF!</v>
      </c>
      <c r="CE13" t="e">
        <f>AND(#REF!,"AAAAAD8++lI=")</f>
        <v>#REF!</v>
      </c>
      <c r="CF13" t="e">
        <f>AND(#REF!,"AAAAAD8++lM=")</f>
        <v>#REF!</v>
      </c>
      <c r="CG13" t="e">
        <f>AND(#REF!,"AAAAAD8++lQ=")</f>
        <v>#REF!</v>
      </c>
      <c r="CH13" t="e">
        <f>AND(#REF!,"AAAAAD8++lU=")</f>
        <v>#REF!</v>
      </c>
      <c r="CI13" t="e">
        <f>AND(#REF!,"AAAAAD8++lY=")</f>
        <v>#REF!</v>
      </c>
      <c r="CJ13" t="e">
        <f>AND(#REF!,"AAAAAD8++lc=")</f>
        <v>#REF!</v>
      </c>
      <c r="CK13" t="e">
        <f>AND(#REF!,"AAAAAD8++lg=")</f>
        <v>#REF!</v>
      </c>
      <c r="CL13" t="e">
        <f>IF(#REF!,"AAAAAD8++lk=",0)</f>
        <v>#REF!</v>
      </c>
      <c r="CM13" t="e">
        <f>AND(#REF!,"AAAAAD8++lo=")</f>
        <v>#REF!</v>
      </c>
      <c r="CN13" t="e">
        <f>AND(#REF!,"AAAAAD8++ls=")</f>
        <v>#REF!</v>
      </c>
      <c r="CO13" t="e">
        <f>AND(#REF!,"AAAAAD8++lw=")</f>
        <v>#REF!</v>
      </c>
      <c r="CP13" t="e">
        <f>AND(#REF!,"AAAAAD8++l0=")</f>
        <v>#REF!</v>
      </c>
      <c r="CQ13" t="e">
        <f>AND(#REF!,"AAAAAD8++l4=")</f>
        <v>#REF!</v>
      </c>
      <c r="CR13" t="e">
        <f>AND(#REF!,"AAAAAD8++l8=")</f>
        <v>#REF!</v>
      </c>
      <c r="CS13" t="e">
        <f>AND(#REF!,"AAAAAD8++mA=")</f>
        <v>#REF!</v>
      </c>
      <c r="CT13" t="e">
        <f>AND(#REF!,"AAAAAD8++mE=")</f>
        <v>#REF!</v>
      </c>
      <c r="CU13" t="e">
        <f>IF(#REF!,"AAAAAD8++mI=",0)</f>
        <v>#REF!</v>
      </c>
      <c r="CV13" t="e">
        <f>AND(#REF!,"AAAAAD8++mM=")</f>
        <v>#REF!</v>
      </c>
      <c r="CW13" t="e">
        <f>AND(#REF!,"AAAAAD8++mQ=")</f>
        <v>#REF!</v>
      </c>
      <c r="CX13" t="e">
        <f>AND(#REF!,"AAAAAD8++mU=")</f>
        <v>#REF!</v>
      </c>
      <c r="CY13" t="e">
        <f>AND(#REF!,"AAAAAD8++mY=")</f>
        <v>#REF!</v>
      </c>
      <c r="CZ13" t="e">
        <f>AND(#REF!,"AAAAAD8++mc=")</f>
        <v>#REF!</v>
      </c>
      <c r="DA13" t="e">
        <f>AND(#REF!,"AAAAAD8++mg=")</f>
        <v>#REF!</v>
      </c>
      <c r="DB13" t="e">
        <f>AND(#REF!,"AAAAAD8++mk=")</f>
        <v>#REF!</v>
      </c>
      <c r="DC13" t="e">
        <f>AND(#REF!,"AAAAAD8++mo=")</f>
        <v>#REF!</v>
      </c>
      <c r="DD13" t="e">
        <f>IF(#REF!,"AAAAAD8++ms=",0)</f>
        <v>#REF!</v>
      </c>
      <c r="DE13" t="e">
        <f>AND(#REF!,"AAAAAD8++mw=")</f>
        <v>#REF!</v>
      </c>
      <c r="DF13" t="e">
        <f>AND(#REF!,"AAAAAD8++m0=")</f>
        <v>#REF!</v>
      </c>
      <c r="DG13" t="e">
        <f>AND(#REF!,"AAAAAD8++m4=")</f>
        <v>#REF!</v>
      </c>
      <c r="DH13" t="e">
        <f>AND(#REF!,"AAAAAD8++m8=")</f>
        <v>#REF!</v>
      </c>
      <c r="DI13" t="e">
        <f>AND(#REF!,"AAAAAD8++nA=")</f>
        <v>#REF!</v>
      </c>
      <c r="DJ13" t="e">
        <f>AND(#REF!,"AAAAAD8++nE=")</f>
        <v>#REF!</v>
      </c>
      <c r="DK13" t="e">
        <f>AND(#REF!,"AAAAAD8++nI=")</f>
        <v>#REF!</v>
      </c>
      <c r="DL13" t="e">
        <f>AND(#REF!,"AAAAAD8++nM=")</f>
        <v>#REF!</v>
      </c>
      <c r="DM13" t="e">
        <f>IF(#REF!,"AAAAAD8++nQ=",0)</f>
        <v>#REF!</v>
      </c>
      <c r="DN13" t="e">
        <f>IF(#REF!,"AAAAAD8++nU=",0)</f>
        <v>#REF!</v>
      </c>
      <c r="DO13" t="e">
        <f>IF(#REF!,"AAAAAD8++nY=",0)</f>
        <v>#REF!</v>
      </c>
      <c r="DP13" t="e">
        <f>IF(#REF!,"AAAAAD8++nc=",0)</f>
        <v>#REF!</v>
      </c>
      <c r="DQ13" t="e">
        <f>IF(#REF!,"AAAAAD8++ng=",0)</f>
        <v>#REF!</v>
      </c>
      <c r="DR13" t="e">
        <f>IF(#REF!,"AAAAAD8++nk=",0)</f>
        <v>#REF!</v>
      </c>
      <c r="DS13" t="e">
        <f>IF(#REF!,"AAAAAD8++no=",0)</f>
        <v>#REF!</v>
      </c>
      <c r="DT13" t="e">
        <f>IF(#REF!,"AAAAAD8++ns=",0)</f>
        <v>#REF!</v>
      </c>
      <c r="DU13" t="e">
        <f>IF(#REF!,"AAAAAD8++nw=",0)</f>
        <v>#REF!</v>
      </c>
      <c r="DV13" t="e">
        <f>IF(#REF!,"AAAAAD8++n0=",0)</f>
        <v>#REF!</v>
      </c>
      <c r="DW13" t="e">
        <f>AND(#REF!,"AAAAAD8++n4=")</f>
        <v>#REF!</v>
      </c>
      <c r="DX13" t="e">
        <f>AND(#REF!,"AAAAAD8++n8=")</f>
        <v>#REF!</v>
      </c>
      <c r="DY13" t="e">
        <f>AND(#REF!,"AAAAAD8++oA=")</f>
        <v>#REF!</v>
      </c>
      <c r="DZ13" t="e">
        <f>AND(#REF!,"AAAAAD8++oE=")</f>
        <v>#REF!</v>
      </c>
      <c r="EA13" t="e">
        <f>AND(#REF!,"AAAAAD8++oI=")</f>
        <v>#REF!</v>
      </c>
      <c r="EB13" t="e">
        <f>AND(#REF!,"AAAAAD8++oM=")</f>
        <v>#REF!</v>
      </c>
      <c r="EC13" t="e">
        <f>AND(#REF!,"AAAAAD8++oQ=")</f>
        <v>#REF!</v>
      </c>
      <c r="ED13" t="e">
        <f>AND(#REF!,"AAAAAD8++oU=")</f>
        <v>#REF!</v>
      </c>
      <c r="EE13" t="e">
        <f>AND(#REF!,"AAAAAD8++oY=")</f>
        <v>#REF!</v>
      </c>
      <c r="EF13" t="e">
        <f>AND(#REF!,"AAAAAD8++oc=")</f>
        <v>#REF!</v>
      </c>
      <c r="EG13" t="e">
        <f>AND(#REF!,"AAAAAD8++og=")</f>
        <v>#REF!</v>
      </c>
      <c r="EH13" t="e">
        <f>AND(#REF!,"AAAAAD8++ok=")</f>
        <v>#REF!</v>
      </c>
      <c r="EI13" t="e">
        <f>AND(#REF!,"AAAAAD8++oo=")</f>
        <v>#REF!</v>
      </c>
      <c r="EJ13" t="e">
        <f>AND(#REF!,"AAAAAD8++os=")</f>
        <v>#REF!</v>
      </c>
      <c r="EK13" t="e">
        <f>IF(#REF!,"AAAAAD8++ow=",0)</f>
        <v>#REF!</v>
      </c>
      <c r="EL13" t="e">
        <f>AND(#REF!,"AAAAAD8++o0=")</f>
        <v>#REF!</v>
      </c>
      <c r="EM13" t="e">
        <f>AND(#REF!,"AAAAAD8++o4=")</f>
        <v>#REF!</v>
      </c>
      <c r="EN13" t="e">
        <f>AND(#REF!,"AAAAAD8++o8=")</f>
        <v>#REF!</v>
      </c>
      <c r="EO13" t="e">
        <f>AND(#REF!,"AAAAAD8++pA=")</f>
        <v>#REF!</v>
      </c>
      <c r="EP13" t="e">
        <f>AND(#REF!,"AAAAAD8++pE=")</f>
        <v>#REF!</v>
      </c>
      <c r="EQ13" t="e">
        <f>AND(#REF!,"AAAAAD8++pI=")</f>
        <v>#REF!</v>
      </c>
      <c r="ER13" t="e">
        <f>AND(#REF!,"AAAAAD8++pM=")</f>
        <v>#REF!</v>
      </c>
      <c r="ES13" t="e">
        <f>AND(#REF!,"AAAAAD8++pQ=")</f>
        <v>#REF!</v>
      </c>
      <c r="ET13" t="e">
        <f>AND(#REF!,"AAAAAD8++pU=")</f>
        <v>#REF!</v>
      </c>
      <c r="EU13" t="e">
        <f>AND(#REF!,"AAAAAD8++pY=")</f>
        <v>#REF!</v>
      </c>
      <c r="EV13" t="e">
        <f>AND(#REF!,"AAAAAD8++pc=")</f>
        <v>#REF!</v>
      </c>
      <c r="EW13" t="e">
        <f>AND(#REF!,"AAAAAD8++pg=")</f>
        <v>#REF!</v>
      </c>
      <c r="EX13" t="e">
        <f>AND(#REF!,"AAAAAD8++pk=")</f>
        <v>#REF!</v>
      </c>
      <c r="EY13" t="e">
        <f>AND(#REF!,"AAAAAD8++po=")</f>
        <v>#REF!</v>
      </c>
      <c r="EZ13" t="e">
        <f>IF(#REF!,"AAAAAD8++ps=",0)</f>
        <v>#REF!</v>
      </c>
      <c r="FA13" t="e">
        <f>AND(#REF!,"AAAAAD8++pw=")</f>
        <v>#REF!</v>
      </c>
      <c r="FB13" t="e">
        <f>AND(#REF!,"AAAAAD8++p0=")</f>
        <v>#REF!</v>
      </c>
      <c r="FC13" t="e">
        <f>AND(#REF!,"AAAAAD8++p4=")</f>
        <v>#REF!</v>
      </c>
      <c r="FD13" t="e">
        <f>AND(#REF!,"AAAAAD8++p8=")</f>
        <v>#REF!</v>
      </c>
      <c r="FE13" t="e">
        <f>AND(#REF!,"AAAAAD8++qA=")</f>
        <v>#REF!</v>
      </c>
      <c r="FF13" t="e">
        <f>AND(#REF!,"AAAAAD8++qE=")</f>
        <v>#REF!</v>
      </c>
      <c r="FG13" t="e">
        <f>AND(#REF!,"AAAAAD8++qI=")</f>
        <v>#REF!</v>
      </c>
      <c r="FH13" t="e">
        <f>AND(#REF!,"AAAAAD8++qM=")</f>
        <v>#REF!</v>
      </c>
      <c r="FI13" t="e">
        <f>AND(#REF!,"AAAAAD8++qQ=")</f>
        <v>#REF!</v>
      </c>
      <c r="FJ13" t="e">
        <f>AND(#REF!,"AAAAAD8++qU=")</f>
        <v>#REF!</v>
      </c>
      <c r="FK13" t="e">
        <f>AND(#REF!,"AAAAAD8++qY=")</f>
        <v>#REF!</v>
      </c>
      <c r="FL13" t="e">
        <f>AND(#REF!,"AAAAAD8++qc=")</f>
        <v>#REF!</v>
      </c>
      <c r="FM13" t="e">
        <f>AND(#REF!,"AAAAAD8++qg=")</f>
        <v>#REF!</v>
      </c>
      <c r="FN13" t="e">
        <f>AND(#REF!,"AAAAAD8++qk=")</f>
        <v>#REF!</v>
      </c>
      <c r="FO13" t="e">
        <f>IF(#REF!,"AAAAAD8++qo=",0)</f>
        <v>#REF!</v>
      </c>
      <c r="FP13" t="e">
        <f>AND(#REF!,"AAAAAD8++qs=")</f>
        <v>#REF!</v>
      </c>
      <c r="FQ13" t="e">
        <f>AND(#REF!,"AAAAAD8++qw=")</f>
        <v>#REF!</v>
      </c>
      <c r="FR13" t="e">
        <f>AND(#REF!,"AAAAAD8++q0=")</f>
        <v>#REF!</v>
      </c>
      <c r="FS13" t="e">
        <f>AND(#REF!,"AAAAAD8++q4=")</f>
        <v>#REF!</v>
      </c>
      <c r="FT13" t="e">
        <f>AND(#REF!,"AAAAAD8++q8=")</f>
        <v>#REF!</v>
      </c>
      <c r="FU13" t="e">
        <f>AND(#REF!,"AAAAAD8++rA=")</f>
        <v>#REF!</v>
      </c>
      <c r="FV13" t="e">
        <f>AND(#REF!,"AAAAAD8++rE=")</f>
        <v>#REF!</v>
      </c>
      <c r="FW13" t="e">
        <f>AND(#REF!,"AAAAAD8++rI=")</f>
        <v>#REF!</v>
      </c>
      <c r="FX13" t="e">
        <f>AND(#REF!,"AAAAAD8++rM=")</f>
        <v>#REF!</v>
      </c>
      <c r="FY13" t="e">
        <f>AND(#REF!,"AAAAAD8++rQ=")</f>
        <v>#REF!</v>
      </c>
      <c r="FZ13" t="e">
        <f>AND(#REF!,"AAAAAD8++rU=")</f>
        <v>#REF!</v>
      </c>
      <c r="GA13" t="e">
        <f>AND(#REF!,"AAAAAD8++rY=")</f>
        <v>#REF!</v>
      </c>
      <c r="GB13" t="e">
        <f>AND(#REF!,"AAAAAD8++rc=")</f>
        <v>#REF!</v>
      </c>
      <c r="GC13" t="e">
        <f>AND(#REF!,"AAAAAD8++rg=")</f>
        <v>#REF!</v>
      </c>
      <c r="GD13" t="e">
        <f>IF(#REF!,"AAAAAD8++rk=",0)</f>
        <v>#REF!</v>
      </c>
      <c r="GE13" t="e">
        <f>AND(#REF!,"AAAAAD8++ro=")</f>
        <v>#REF!</v>
      </c>
      <c r="GF13" t="e">
        <f>AND(#REF!,"AAAAAD8++rs=")</f>
        <v>#REF!</v>
      </c>
      <c r="GG13" t="e">
        <f>AND(#REF!,"AAAAAD8++rw=")</f>
        <v>#REF!</v>
      </c>
      <c r="GH13" t="e">
        <f>AND(#REF!,"AAAAAD8++r0=")</f>
        <v>#REF!</v>
      </c>
      <c r="GI13" t="e">
        <f>AND(#REF!,"AAAAAD8++r4=")</f>
        <v>#REF!</v>
      </c>
      <c r="GJ13" t="e">
        <f>AND(#REF!,"AAAAAD8++r8=")</f>
        <v>#REF!</v>
      </c>
      <c r="GK13" t="e">
        <f>AND(#REF!,"AAAAAD8++sA=")</f>
        <v>#REF!</v>
      </c>
      <c r="GL13" t="e">
        <f>AND(#REF!,"AAAAAD8++sE=")</f>
        <v>#REF!</v>
      </c>
      <c r="GM13" t="e">
        <f>AND(#REF!,"AAAAAD8++sI=")</f>
        <v>#REF!</v>
      </c>
      <c r="GN13" t="e">
        <f>AND(#REF!,"AAAAAD8++sM=")</f>
        <v>#REF!</v>
      </c>
      <c r="GO13" t="e">
        <f>AND(#REF!,"AAAAAD8++sQ=")</f>
        <v>#REF!</v>
      </c>
      <c r="GP13" t="e">
        <f>AND(#REF!,"AAAAAD8++sU=")</f>
        <v>#REF!</v>
      </c>
      <c r="GQ13" t="e">
        <f>AND(#REF!,"AAAAAD8++sY=")</f>
        <v>#REF!</v>
      </c>
      <c r="GR13" t="e">
        <f>AND(#REF!,"AAAAAD8++sc=")</f>
        <v>#REF!</v>
      </c>
      <c r="GS13" t="e">
        <f>IF(#REF!,"AAAAAD8++sg=",0)</f>
        <v>#REF!</v>
      </c>
      <c r="GT13" t="e">
        <f>AND(#REF!,"AAAAAD8++sk=")</f>
        <v>#REF!</v>
      </c>
      <c r="GU13" t="e">
        <f>AND(#REF!,"AAAAAD8++so=")</f>
        <v>#REF!</v>
      </c>
      <c r="GV13" t="e">
        <f>AND(#REF!,"AAAAAD8++ss=")</f>
        <v>#REF!</v>
      </c>
      <c r="GW13" t="e">
        <f>AND(#REF!,"AAAAAD8++sw=")</f>
        <v>#REF!</v>
      </c>
      <c r="GX13" t="e">
        <f>AND(#REF!,"AAAAAD8++s0=")</f>
        <v>#REF!</v>
      </c>
      <c r="GY13" t="e">
        <f>AND(#REF!,"AAAAAD8++s4=")</f>
        <v>#REF!</v>
      </c>
      <c r="GZ13" t="e">
        <f>AND(#REF!,"AAAAAD8++s8=")</f>
        <v>#REF!</v>
      </c>
      <c r="HA13" t="e">
        <f>AND(#REF!,"AAAAAD8++tA=")</f>
        <v>#REF!</v>
      </c>
      <c r="HB13" t="e">
        <f>AND(#REF!,"AAAAAD8++tE=")</f>
        <v>#REF!</v>
      </c>
      <c r="HC13" t="e">
        <f>AND(#REF!,"AAAAAD8++tI=")</f>
        <v>#REF!</v>
      </c>
      <c r="HD13" t="e">
        <f>AND(#REF!,"AAAAAD8++tM=")</f>
        <v>#REF!</v>
      </c>
      <c r="HE13" t="e">
        <f>AND(#REF!,"AAAAAD8++tQ=")</f>
        <v>#REF!</v>
      </c>
      <c r="HF13" t="e">
        <f>AND(#REF!,"AAAAAD8++tU=")</f>
        <v>#REF!</v>
      </c>
      <c r="HG13" t="e">
        <f>AND(#REF!,"AAAAAD8++tY=")</f>
        <v>#REF!</v>
      </c>
      <c r="HH13" t="e">
        <f>IF(#REF!,"AAAAAD8++tc=",0)</f>
        <v>#REF!</v>
      </c>
      <c r="HI13" t="e">
        <f>AND(#REF!,"AAAAAD8++tg=")</f>
        <v>#REF!</v>
      </c>
      <c r="HJ13" t="e">
        <f>AND(#REF!,"AAAAAD8++tk=")</f>
        <v>#REF!</v>
      </c>
      <c r="HK13" t="e">
        <f>AND(#REF!,"AAAAAD8++to=")</f>
        <v>#REF!</v>
      </c>
      <c r="HL13" t="e">
        <f>AND(#REF!,"AAAAAD8++ts=")</f>
        <v>#REF!</v>
      </c>
      <c r="HM13" t="e">
        <f>AND(#REF!,"AAAAAD8++tw=")</f>
        <v>#REF!</v>
      </c>
      <c r="HN13" t="e">
        <f>AND(#REF!,"AAAAAD8++t0=")</f>
        <v>#REF!</v>
      </c>
      <c r="HO13" t="e">
        <f>AND(#REF!,"AAAAAD8++t4=")</f>
        <v>#REF!</v>
      </c>
      <c r="HP13" t="e">
        <f>AND(#REF!,"AAAAAD8++t8=")</f>
        <v>#REF!</v>
      </c>
      <c r="HQ13" t="e">
        <f>AND(#REF!,"AAAAAD8++uA=")</f>
        <v>#REF!</v>
      </c>
      <c r="HR13" t="e">
        <f>AND(#REF!,"AAAAAD8++uE=")</f>
        <v>#REF!</v>
      </c>
      <c r="HS13" t="e">
        <f>AND(#REF!,"AAAAAD8++uI=")</f>
        <v>#REF!</v>
      </c>
      <c r="HT13" t="e">
        <f>AND(#REF!,"AAAAAD8++uM=")</f>
        <v>#REF!</v>
      </c>
      <c r="HU13" t="e">
        <f>AND(#REF!,"AAAAAD8++uQ=")</f>
        <v>#REF!</v>
      </c>
      <c r="HV13" t="e">
        <f>AND(#REF!,"AAAAAD8++uU=")</f>
        <v>#REF!</v>
      </c>
      <c r="HW13" t="e">
        <f>IF(#REF!,"AAAAAD8++uY=",0)</f>
        <v>#REF!</v>
      </c>
      <c r="HX13" t="e">
        <f>AND(#REF!,"AAAAAD8++uc=")</f>
        <v>#REF!</v>
      </c>
      <c r="HY13" t="e">
        <f>AND(#REF!,"AAAAAD8++ug=")</f>
        <v>#REF!</v>
      </c>
      <c r="HZ13" t="e">
        <f>AND(#REF!,"AAAAAD8++uk=")</f>
        <v>#REF!</v>
      </c>
      <c r="IA13" t="e">
        <f>AND(#REF!,"AAAAAD8++uo=")</f>
        <v>#REF!</v>
      </c>
      <c r="IB13" t="e">
        <f>AND(#REF!,"AAAAAD8++us=")</f>
        <v>#REF!</v>
      </c>
      <c r="IC13" t="e">
        <f>AND(#REF!,"AAAAAD8++uw=")</f>
        <v>#REF!</v>
      </c>
      <c r="ID13" t="e">
        <f>AND(#REF!,"AAAAAD8++u0=")</f>
        <v>#REF!</v>
      </c>
      <c r="IE13" t="e">
        <f>AND(#REF!,"AAAAAD8++u4=")</f>
        <v>#REF!</v>
      </c>
      <c r="IF13" t="e">
        <f>AND(#REF!,"AAAAAD8++u8=")</f>
        <v>#REF!</v>
      </c>
      <c r="IG13" t="e">
        <f>AND(#REF!,"AAAAAD8++vA=")</f>
        <v>#REF!</v>
      </c>
      <c r="IH13" t="e">
        <f>AND(#REF!,"AAAAAD8++vE=")</f>
        <v>#REF!</v>
      </c>
      <c r="II13" t="e">
        <f>AND(#REF!,"AAAAAD8++vI=")</f>
        <v>#REF!</v>
      </c>
      <c r="IJ13" t="e">
        <f>AND(#REF!,"AAAAAD8++vM=")</f>
        <v>#REF!</v>
      </c>
      <c r="IK13" t="e">
        <f>AND(#REF!,"AAAAAD8++vQ=")</f>
        <v>#REF!</v>
      </c>
      <c r="IL13" t="e">
        <f>IF(#REF!,"AAAAAD8++vU=",0)</f>
        <v>#REF!</v>
      </c>
      <c r="IM13" t="e">
        <f>AND(#REF!,"AAAAAD8++vY=")</f>
        <v>#REF!</v>
      </c>
      <c r="IN13" t="e">
        <f>AND(#REF!,"AAAAAD8++vc=")</f>
        <v>#REF!</v>
      </c>
      <c r="IO13" t="e">
        <f>AND(#REF!,"AAAAAD8++vg=")</f>
        <v>#REF!</v>
      </c>
      <c r="IP13" t="e">
        <f>AND(#REF!,"AAAAAD8++vk=")</f>
        <v>#REF!</v>
      </c>
      <c r="IQ13" t="e">
        <f>AND(#REF!,"AAAAAD8++vo=")</f>
        <v>#REF!</v>
      </c>
      <c r="IR13" t="e">
        <f>AND(#REF!,"AAAAAD8++vs=")</f>
        <v>#REF!</v>
      </c>
      <c r="IS13" t="e">
        <f>AND(#REF!,"AAAAAD8++vw=")</f>
        <v>#REF!</v>
      </c>
      <c r="IT13" t="e">
        <f>AND(#REF!,"AAAAAD8++v0=")</f>
        <v>#REF!</v>
      </c>
      <c r="IU13" t="e">
        <f>AND(#REF!,"AAAAAD8++v4=")</f>
        <v>#REF!</v>
      </c>
      <c r="IV13" t="e">
        <f>AND(#REF!,"AAAAAD8++v8=")</f>
        <v>#REF!</v>
      </c>
    </row>
    <row r="14" spans="1:256" x14ac:dyDescent="0.2">
      <c r="A14" t="e">
        <f>AND(#REF!,"AAAAAHvffwA=")</f>
        <v>#REF!</v>
      </c>
      <c r="B14" t="e">
        <f>AND(#REF!,"AAAAAHvffwE=")</f>
        <v>#REF!</v>
      </c>
      <c r="C14" t="e">
        <f>AND(#REF!,"AAAAAHvffwI=")</f>
        <v>#REF!</v>
      </c>
      <c r="D14" t="e">
        <f>AND(#REF!,"AAAAAHvffwM=")</f>
        <v>#REF!</v>
      </c>
      <c r="E14" t="e">
        <f>IF(#REF!,"AAAAAHvffwQ=",0)</f>
        <v>#REF!</v>
      </c>
      <c r="F14" t="e">
        <f>AND(#REF!,"AAAAAHvffwU=")</f>
        <v>#REF!</v>
      </c>
      <c r="G14" t="e">
        <f>AND(#REF!,"AAAAAHvffwY=")</f>
        <v>#REF!</v>
      </c>
      <c r="H14" t="e">
        <f>AND(#REF!,"AAAAAHvffwc=")</f>
        <v>#REF!</v>
      </c>
      <c r="I14" t="e">
        <f>AND(#REF!,"AAAAAHvffwg=")</f>
        <v>#REF!</v>
      </c>
      <c r="J14" t="e">
        <f>AND(#REF!,"AAAAAHvffwk=")</f>
        <v>#REF!</v>
      </c>
      <c r="K14" t="e">
        <f>AND(#REF!,"AAAAAHvffwo=")</f>
        <v>#REF!</v>
      </c>
      <c r="L14" t="e">
        <f>AND(#REF!,"AAAAAHvffws=")</f>
        <v>#REF!</v>
      </c>
      <c r="M14" t="e">
        <f>AND(#REF!,"AAAAAHvffww=")</f>
        <v>#REF!</v>
      </c>
      <c r="N14" t="e">
        <f>AND(#REF!,"AAAAAHvffw0=")</f>
        <v>#REF!</v>
      </c>
      <c r="O14" t="e">
        <f>AND(#REF!,"AAAAAHvffw4=")</f>
        <v>#REF!</v>
      </c>
      <c r="P14" t="e">
        <f>AND(#REF!,"AAAAAHvffw8=")</f>
        <v>#REF!</v>
      </c>
      <c r="Q14" t="e">
        <f>AND(#REF!,"AAAAAHvffxA=")</f>
        <v>#REF!</v>
      </c>
      <c r="R14" t="e">
        <f>AND(#REF!,"AAAAAHvffxE=")</f>
        <v>#REF!</v>
      </c>
      <c r="S14" t="e">
        <f>AND(#REF!,"AAAAAHvffxI=")</f>
        <v>#REF!</v>
      </c>
      <c r="T14" t="e">
        <f>IF(#REF!,"AAAAAHvffxM=",0)</f>
        <v>#REF!</v>
      </c>
      <c r="U14" t="e">
        <f>AND(#REF!,"AAAAAHvffxQ=")</f>
        <v>#REF!</v>
      </c>
      <c r="V14" t="e">
        <f>AND(#REF!,"AAAAAHvffxU=")</f>
        <v>#REF!</v>
      </c>
      <c r="W14" t="e">
        <f>AND(#REF!,"AAAAAHvffxY=")</f>
        <v>#REF!</v>
      </c>
      <c r="X14" t="e">
        <f>AND(#REF!,"AAAAAHvffxc=")</f>
        <v>#REF!</v>
      </c>
      <c r="Y14" t="e">
        <f>AND(#REF!,"AAAAAHvffxg=")</f>
        <v>#REF!</v>
      </c>
      <c r="Z14" t="e">
        <f>AND(#REF!,"AAAAAHvffxk=")</f>
        <v>#REF!</v>
      </c>
      <c r="AA14" t="e">
        <f>AND(#REF!,"AAAAAHvffxo=")</f>
        <v>#REF!</v>
      </c>
      <c r="AB14" t="e">
        <f>AND(#REF!,"AAAAAHvffxs=")</f>
        <v>#REF!</v>
      </c>
      <c r="AC14" t="e">
        <f>AND(#REF!,"AAAAAHvffxw=")</f>
        <v>#REF!</v>
      </c>
      <c r="AD14" t="e">
        <f>AND(#REF!,"AAAAAHvffx0=")</f>
        <v>#REF!</v>
      </c>
      <c r="AE14" t="e">
        <f>AND(#REF!,"AAAAAHvffx4=")</f>
        <v>#REF!</v>
      </c>
      <c r="AF14" t="e">
        <f>AND(#REF!,"AAAAAHvffx8=")</f>
        <v>#REF!</v>
      </c>
      <c r="AG14" t="e">
        <f>AND(#REF!,"AAAAAHvffyA=")</f>
        <v>#REF!</v>
      </c>
      <c r="AH14" t="e">
        <f>AND(#REF!,"AAAAAHvffyE=")</f>
        <v>#REF!</v>
      </c>
      <c r="AI14" t="e">
        <f>IF(#REF!,"AAAAAHvffyI=",0)</f>
        <v>#REF!</v>
      </c>
      <c r="AJ14" t="e">
        <f>AND(#REF!,"AAAAAHvffyM=")</f>
        <v>#REF!</v>
      </c>
      <c r="AK14" t="e">
        <f>AND(#REF!,"AAAAAHvffyQ=")</f>
        <v>#REF!</v>
      </c>
      <c r="AL14" t="e">
        <f>AND(#REF!,"AAAAAHvffyU=")</f>
        <v>#REF!</v>
      </c>
      <c r="AM14" t="e">
        <f>AND(#REF!,"AAAAAHvffyY=")</f>
        <v>#REF!</v>
      </c>
      <c r="AN14" t="e">
        <f>AND(#REF!,"AAAAAHvffyc=")</f>
        <v>#REF!</v>
      </c>
      <c r="AO14" t="e">
        <f>AND(#REF!,"AAAAAHvffyg=")</f>
        <v>#REF!</v>
      </c>
      <c r="AP14" t="e">
        <f>AND(#REF!,"AAAAAHvffyk=")</f>
        <v>#REF!</v>
      </c>
      <c r="AQ14" t="e">
        <f>AND(#REF!,"AAAAAHvffyo=")</f>
        <v>#REF!</v>
      </c>
      <c r="AR14" t="e">
        <f>AND(#REF!,"AAAAAHvffys=")</f>
        <v>#REF!</v>
      </c>
      <c r="AS14" t="e">
        <f>AND(#REF!,"AAAAAHvffyw=")</f>
        <v>#REF!</v>
      </c>
      <c r="AT14" t="e">
        <f>AND(#REF!,"AAAAAHvffy0=")</f>
        <v>#REF!</v>
      </c>
      <c r="AU14" t="e">
        <f>AND(#REF!,"AAAAAHvffy4=")</f>
        <v>#REF!</v>
      </c>
      <c r="AV14" t="e">
        <f>AND(#REF!,"AAAAAHvffy8=")</f>
        <v>#REF!</v>
      </c>
      <c r="AW14" t="e">
        <f>AND(#REF!,"AAAAAHvffzA=")</f>
        <v>#REF!</v>
      </c>
      <c r="AX14" t="e">
        <f>IF(#REF!,"AAAAAHvffzE=",0)</f>
        <v>#REF!</v>
      </c>
      <c r="AY14" t="e">
        <f>AND(#REF!,"AAAAAHvffzI=")</f>
        <v>#REF!</v>
      </c>
      <c r="AZ14" t="e">
        <f>AND(#REF!,"AAAAAHvffzM=")</f>
        <v>#REF!</v>
      </c>
      <c r="BA14" t="e">
        <f>AND(#REF!,"AAAAAHvffzQ=")</f>
        <v>#REF!</v>
      </c>
      <c r="BB14" t="e">
        <f>AND(#REF!,"AAAAAHvffzU=")</f>
        <v>#REF!</v>
      </c>
      <c r="BC14" t="e">
        <f>AND(#REF!,"AAAAAHvffzY=")</f>
        <v>#REF!</v>
      </c>
      <c r="BD14" t="e">
        <f>AND(#REF!,"AAAAAHvffzc=")</f>
        <v>#REF!</v>
      </c>
      <c r="BE14" t="e">
        <f>AND(#REF!,"AAAAAHvffzg=")</f>
        <v>#REF!</v>
      </c>
      <c r="BF14" t="e">
        <f>AND(#REF!,"AAAAAHvffzk=")</f>
        <v>#REF!</v>
      </c>
      <c r="BG14" t="e">
        <f>AND(#REF!,"AAAAAHvffzo=")</f>
        <v>#REF!</v>
      </c>
      <c r="BH14" t="e">
        <f>AND(#REF!,"AAAAAHvffzs=")</f>
        <v>#REF!</v>
      </c>
      <c r="BI14" t="e">
        <f>AND(#REF!,"AAAAAHvffzw=")</f>
        <v>#REF!</v>
      </c>
      <c r="BJ14" t="e">
        <f>AND(#REF!,"AAAAAHvffz0=")</f>
        <v>#REF!</v>
      </c>
      <c r="BK14" t="e">
        <f>AND(#REF!,"AAAAAHvffz4=")</f>
        <v>#REF!</v>
      </c>
      <c r="BL14" t="e">
        <f>AND(#REF!,"AAAAAHvffz8=")</f>
        <v>#REF!</v>
      </c>
      <c r="BM14" t="e">
        <f>IF(#REF!,"AAAAAHvff0A=",0)</f>
        <v>#REF!</v>
      </c>
      <c r="BN14" t="e">
        <f>AND(#REF!,"AAAAAHvff0E=")</f>
        <v>#REF!</v>
      </c>
      <c r="BO14" t="e">
        <f>AND(#REF!,"AAAAAHvff0I=")</f>
        <v>#REF!</v>
      </c>
      <c r="BP14" t="e">
        <f>AND(#REF!,"AAAAAHvff0M=")</f>
        <v>#REF!</v>
      </c>
      <c r="BQ14" t="e">
        <f>AND(#REF!,"AAAAAHvff0Q=")</f>
        <v>#REF!</v>
      </c>
      <c r="BR14" t="e">
        <f>AND(#REF!,"AAAAAHvff0U=")</f>
        <v>#REF!</v>
      </c>
      <c r="BS14" t="e">
        <f>AND(#REF!,"AAAAAHvff0Y=")</f>
        <v>#REF!</v>
      </c>
      <c r="BT14" t="e">
        <f>AND(#REF!,"AAAAAHvff0c=")</f>
        <v>#REF!</v>
      </c>
      <c r="BU14" t="e">
        <f>AND(#REF!,"AAAAAHvff0g=")</f>
        <v>#REF!</v>
      </c>
      <c r="BV14" t="e">
        <f>AND(#REF!,"AAAAAHvff0k=")</f>
        <v>#REF!</v>
      </c>
      <c r="BW14" t="e">
        <f>AND(#REF!,"AAAAAHvff0o=")</f>
        <v>#REF!</v>
      </c>
      <c r="BX14" t="e">
        <f>AND(#REF!,"AAAAAHvff0s=")</f>
        <v>#REF!</v>
      </c>
      <c r="BY14" t="e">
        <f>AND(#REF!,"AAAAAHvff0w=")</f>
        <v>#REF!</v>
      </c>
      <c r="BZ14" t="e">
        <f>AND(#REF!,"AAAAAHvff00=")</f>
        <v>#REF!</v>
      </c>
      <c r="CA14" t="e">
        <f>AND(#REF!,"AAAAAHvff04=")</f>
        <v>#REF!</v>
      </c>
      <c r="CB14" t="e">
        <f>IF(#REF!,"AAAAAHvff08=",0)</f>
        <v>#REF!</v>
      </c>
      <c r="CC14" t="e">
        <f>AND(#REF!,"AAAAAHvff1A=")</f>
        <v>#REF!</v>
      </c>
      <c r="CD14" t="e">
        <f>AND(#REF!,"AAAAAHvff1E=")</f>
        <v>#REF!</v>
      </c>
      <c r="CE14" t="e">
        <f>AND(#REF!,"AAAAAHvff1I=")</f>
        <v>#REF!</v>
      </c>
      <c r="CF14" t="e">
        <f>AND(#REF!,"AAAAAHvff1M=")</f>
        <v>#REF!</v>
      </c>
      <c r="CG14" t="e">
        <f>AND(#REF!,"AAAAAHvff1Q=")</f>
        <v>#REF!</v>
      </c>
      <c r="CH14" t="e">
        <f>AND(#REF!,"AAAAAHvff1U=")</f>
        <v>#REF!</v>
      </c>
      <c r="CI14" t="e">
        <f>AND(#REF!,"AAAAAHvff1Y=")</f>
        <v>#REF!</v>
      </c>
      <c r="CJ14" t="e">
        <f>AND(#REF!,"AAAAAHvff1c=")</f>
        <v>#REF!</v>
      </c>
      <c r="CK14" t="e">
        <f>AND(#REF!,"AAAAAHvff1g=")</f>
        <v>#REF!</v>
      </c>
      <c r="CL14" t="e">
        <f>AND(#REF!,"AAAAAHvff1k=")</f>
        <v>#REF!</v>
      </c>
      <c r="CM14" t="e">
        <f>AND(#REF!,"AAAAAHvff1o=")</f>
        <v>#REF!</v>
      </c>
      <c r="CN14" t="e">
        <f>AND(#REF!,"AAAAAHvff1s=")</f>
        <v>#REF!</v>
      </c>
      <c r="CO14" t="e">
        <f>AND(#REF!,"AAAAAHvff1w=")</f>
        <v>#REF!</v>
      </c>
      <c r="CP14" t="e">
        <f>AND(#REF!,"AAAAAHvff10=")</f>
        <v>#REF!</v>
      </c>
      <c r="CQ14" t="e">
        <f>IF(#REF!,"AAAAAHvff14=",0)</f>
        <v>#REF!</v>
      </c>
      <c r="CR14" t="e">
        <f>AND(#REF!,"AAAAAHvff18=")</f>
        <v>#REF!</v>
      </c>
      <c r="CS14" t="e">
        <f>AND(#REF!,"AAAAAHvff2A=")</f>
        <v>#REF!</v>
      </c>
      <c r="CT14" t="e">
        <f>AND(#REF!,"AAAAAHvff2E=")</f>
        <v>#REF!</v>
      </c>
      <c r="CU14" t="e">
        <f>AND(#REF!,"AAAAAHvff2I=")</f>
        <v>#REF!</v>
      </c>
      <c r="CV14" t="e">
        <f>AND(#REF!,"AAAAAHvff2M=")</f>
        <v>#REF!</v>
      </c>
      <c r="CW14" t="e">
        <f>AND(#REF!,"AAAAAHvff2Q=")</f>
        <v>#REF!</v>
      </c>
      <c r="CX14" t="e">
        <f>AND(#REF!,"AAAAAHvff2U=")</f>
        <v>#REF!</v>
      </c>
      <c r="CY14" t="e">
        <f>AND(#REF!,"AAAAAHvff2Y=")</f>
        <v>#REF!</v>
      </c>
      <c r="CZ14" t="e">
        <f>AND(#REF!,"AAAAAHvff2c=")</f>
        <v>#REF!</v>
      </c>
      <c r="DA14" t="e">
        <f>AND(#REF!,"AAAAAHvff2g=")</f>
        <v>#REF!</v>
      </c>
      <c r="DB14" t="e">
        <f>AND(#REF!,"AAAAAHvff2k=")</f>
        <v>#REF!</v>
      </c>
      <c r="DC14" t="e">
        <f>AND(#REF!,"AAAAAHvff2o=")</f>
        <v>#REF!</v>
      </c>
      <c r="DD14" t="e">
        <f>IF(#REF!,"AAAAAHvff2s=",0)</f>
        <v>#REF!</v>
      </c>
      <c r="DE14" t="e">
        <f>AND(#REF!,"AAAAAHvff2w=")</f>
        <v>#REF!</v>
      </c>
      <c r="DF14" t="e">
        <f>AND(#REF!,"AAAAAHvff20=")</f>
        <v>#REF!</v>
      </c>
      <c r="DG14" t="e">
        <f>AND(#REF!,"AAAAAHvff24=")</f>
        <v>#REF!</v>
      </c>
      <c r="DH14" t="e">
        <f>AND(#REF!,"AAAAAHvff28=")</f>
        <v>#REF!</v>
      </c>
      <c r="DI14" t="e">
        <f>AND(#REF!,"AAAAAHvff3A=")</f>
        <v>#REF!</v>
      </c>
      <c r="DJ14" t="e">
        <f>AND(#REF!,"AAAAAHvff3E=")</f>
        <v>#REF!</v>
      </c>
      <c r="DK14" t="e">
        <f>AND(#REF!,"AAAAAHvff3I=")</f>
        <v>#REF!</v>
      </c>
      <c r="DL14" t="e">
        <f>AND(#REF!,"AAAAAHvff3M=")</f>
        <v>#REF!</v>
      </c>
      <c r="DM14" t="e">
        <f>AND(#REF!,"AAAAAHvff3Q=")</f>
        <v>#REF!</v>
      </c>
      <c r="DN14" t="e">
        <f>AND(#REF!,"AAAAAHvff3U=")</f>
        <v>#REF!</v>
      </c>
      <c r="DO14" t="e">
        <f>AND(#REF!,"AAAAAHvff3Y=")</f>
        <v>#REF!</v>
      </c>
      <c r="DP14" t="e">
        <f>AND(#REF!,"AAAAAHvff3c=")</f>
        <v>#REF!</v>
      </c>
      <c r="DQ14" t="e">
        <f>IF(#REF!,"AAAAAHvff3g=",0)</f>
        <v>#REF!</v>
      </c>
      <c r="DR14" t="e">
        <f>AND(#REF!,"AAAAAHvff3k=")</f>
        <v>#REF!</v>
      </c>
      <c r="DS14" t="e">
        <f>AND(#REF!,"AAAAAHvff3o=")</f>
        <v>#REF!</v>
      </c>
      <c r="DT14" t="e">
        <f>AND(#REF!,"AAAAAHvff3s=")</f>
        <v>#REF!</v>
      </c>
      <c r="DU14" t="e">
        <f>AND(#REF!,"AAAAAHvff3w=")</f>
        <v>#REF!</v>
      </c>
      <c r="DV14" t="e">
        <f>AND(#REF!,"AAAAAHvff30=")</f>
        <v>#REF!</v>
      </c>
      <c r="DW14" t="e">
        <f>AND(#REF!,"AAAAAHvff34=")</f>
        <v>#REF!</v>
      </c>
      <c r="DX14" t="e">
        <f>AND(#REF!,"AAAAAHvff38=")</f>
        <v>#REF!</v>
      </c>
      <c r="DY14" t="e">
        <f>AND(#REF!,"AAAAAHvff4A=")</f>
        <v>#REF!</v>
      </c>
      <c r="DZ14" t="e">
        <f>AND(#REF!,"AAAAAHvff4E=")</f>
        <v>#REF!</v>
      </c>
      <c r="EA14" t="e">
        <f>AND(#REF!,"AAAAAHvff4I=")</f>
        <v>#REF!</v>
      </c>
      <c r="EB14" t="e">
        <f>AND(#REF!,"AAAAAHvff4M=")</f>
        <v>#REF!</v>
      </c>
      <c r="EC14" t="e">
        <f>AND(#REF!,"AAAAAHvff4Q=")</f>
        <v>#REF!</v>
      </c>
      <c r="ED14" t="e">
        <f>IF(#REF!,"AAAAAHvff4U=",0)</f>
        <v>#REF!</v>
      </c>
      <c r="EE14" t="e">
        <f>AND(#REF!,"AAAAAHvff4Y=")</f>
        <v>#REF!</v>
      </c>
      <c r="EF14" t="e">
        <f>AND(#REF!,"AAAAAHvff4c=")</f>
        <v>#REF!</v>
      </c>
      <c r="EG14" t="e">
        <f>AND(#REF!,"AAAAAHvff4g=")</f>
        <v>#REF!</v>
      </c>
      <c r="EH14" t="e">
        <f>AND(#REF!,"AAAAAHvff4k=")</f>
        <v>#REF!</v>
      </c>
      <c r="EI14" t="e">
        <f>AND(#REF!,"AAAAAHvff4o=")</f>
        <v>#REF!</v>
      </c>
      <c r="EJ14" t="e">
        <f>AND(#REF!,"AAAAAHvff4s=")</f>
        <v>#REF!</v>
      </c>
      <c r="EK14" t="e">
        <f>AND(#REF!,"AAAAAHvff4w=")</f>
        <v>#REF!</v>
      </c>
      <c r="EL14" t="e">
        <f>AND(#REF!,"AAAAAHvff40=")</f>
        <v>#REF!</v>
      </c>
      <c r="EM14" t="e">
        <f>AND(#REF!,"AAAAAHvff44=")</f>
        <v>#REF!</v>
      </c>
      <c r="EN14" t="e">
        <f>AND(#REF!,"AAAAAHvff48=")</f>
        <v>#REF!</v>
      </c>
      <c r="EO14" t="e">
        <f>AND(#REF!,"AAAAAHvff5A=")</f>
        <v>#REF!</v>
      </c>
      <c r="EP14" t="e">
        <f>AND(#REF!,"AAAAAHvff5E=")</f>
        <v>#REF!</v>
      </c>
      <c r="EQ14" t="e">
        <f>IF(#REF!,"AAAAAHvff5I=",0)</f>
        <v>#REF!</v>
      </c>
      <c r="ER14" t="e">
        <f>AND(#REF!,"AAAAAHvff5M=")</f>
        <v>#REF!</v>
      </c>
      <c r="ES14" t="e">
        <f>AND(#REF!,"AAAAAHvff5Q=")</f>
        <v>#REF!</v>
      </c>
      <c r="ET14" t="e">
        <f>AND(#REF!,"AAAAAHvff5U=")</f>
        <v>#REF!</v>
      </c>
      <c r="EU14" t="e">
        <f>AND(#REF!,"AAAAAHvff5Y=")</f>
        <v>#REF!</v>
      </c>
      <c r="EV14" t="e">
        <f>AND(#REF!,"AAAAAHvff5c=")</f>
        <v>#REF!</v>
      </c>
      <c r="EW14" t="e">
        <f>AND(#REF!,"AAAAAHvff5g=")</f>
        <v>#REF!</v>
      </c>
      <c r="EX14" t="e">
        <f>AND(#REF!,"AAAAAHvff5k=")</f>
        <v>#REF!</v>
      </c>
      <c r="EY14" t="e">
        <f>AND(#REF!,"AAAAAHvff5o=")</f>
        <v>#REF!</v>
      </c>
      <c r="EZ14" t="e">
        <f>AND(#REF!,"AAAAAHvff5s=")</f>
        <v>#REF!</v>
      </c>
      <c r="FA14" t="e">
        <f>AND(#REF!,"AAAAAHvff5w=")</f>
        <v>#REF!</v>
      </c>
      <c r="FB14" t="e">
        <f>AND(#REF!,"AAAAAHvff50=")</f>
        <v>#REF!</v>
      </c>
      <c r="FC14" t="e">
        <f>AND(#REF!,"AAAAAHvff54=")</f>
        <v>#REF!</v>
      </c>
      <c r="FD14" t="e">
        <f>IF(#REF!,"AAAAAHvff58=",0)</f>
        <v>#REF!</v>
      </c>
      <c r="FE14" t="e">
        <f>AND(#REF!,"AAAAAHvff6A=")</f>
        <v>#REF!</v>
      </c>
      <c r="FF14" t="e">
        <f>AND(#REF!,"AAAAAHvff6E=")</f>
        <v>#REF!</v>
      </c>
      <c r="FG14" t="e">
        <f>AND(#REF!,"AAAAAHvff6I=")</f>
        <v>#REF!</v>
      </c>
      <c r="FH14" t="e">
        <f>AND(#REF!,"AAAAAHvff6M=")</f>
        <v>#REF!</v>
      </c>
      <c r="FI14" t="e">
        <f>AND(#REF!,"AAAAAHvff6Q=")</f>
        <v>#REF!</v>
      </c>
      <c r="FJ14" t="e">
        <f>AND(#REF!,"AAAAAHvff6U=")</f>
        <v>#REF!</v>
      </c>
      <c r="FK14" t="e">
        <f>AND(#REF!,"AAAAAHvff6Y=")</f>
        <v>#REF!</v>
      </c>
      <c r="FL14" t="e">
        <f>AND(#REF!,"AAAAAHvff6c=")</f>
        <v>#REF!</v>
      </c>
      <c r="FM14" t="e">
        <f>AND(#REF!,"AAAAAHvff6g=")</f>
        <v>#REF!</v>
      </c>
      <c r="FN14" t="e">
        <f>AND(#REF!,"AAAAAHvff6k=")</f>
        <v>#REF!</v>
      </c>
      <c r="FO14" t="e">
        <f>AND(#REF!,"AAAAAHvff6o=")</f>
        <v>#REF!</v>
      </c>
      <c r="FP14" t="e">
        <f>AND(#REF!,"AAAAAHvff6s=")</f>
        <v>#REF!</v>
      </c>
      <c r="FQ14" t="e">
        <f>IF(#REF!,"AAAAAHvff6w=",0)</f>
        <v>#REF!</v>
      </c>
      <c r="FR14" t="e">
        <f>AND(#REF!,"AAAAAHvff60=")</f>
        <v>#REF!</v>
      </c>
      <c r="FS14" t="e">
        <f>AND(#REF!,"AAAAAHvff64=")</f>
        <v>#REF!</v>
      </c>
      <c r="FT14" t="e">
        <f>AND(#REF!,"AAAAAHvff68=")</f>
        <v>#REF!</v>
      </c>
      <c r="FU14" t="e">
        <f>AND(#REF!,"AAAAAHvff7A=")</f>
        <v>#REF!</v>
      </c>
      <c r="FV14" t="e">
        <f>AND(#REF!,"AAAAAHvff7E=")</f>
        <v>#REF!</v>
      </c>
      <c r="FW14" t="e">
        <f>AND(#REF!,"AAAAAHvff7I=")</f>
        <v>#REF!</v>
      </c>
      <c r="FX14" t="e">
        <f>AND(#REF!,"AAAAAHvff7M=")</f>
        <v>#REF!</v>
      </c>
      <c r="FY14" t="e">
        <f>AND(#REF!,"AAAAAHvff7Q=")</f>
        <v>#REF!</v>
      </c>
      <c r="FZ14" t="e">
        <f>AND(#REF!,"AAAAAHvff7U=")</f>
        <v>#REF!</v>
      </c>
      <c r="GA14" t="e">
        <f>AND(#REF!,"AAAAAHvff7Y=")</f>
        <v>#REF!</v>
      </c>
      <c r="GB14" t="e">
        <f>AND(#REF!,"AAAAAHvff7c=")</f>
        <v>#REF!</v>
      </c>
      <c r="GC14" t="e">
        <f>AND(#REF!,"AAAAAHvff7g=")</f>
        <v>#REF!</v>
      </c>
      <c r="GD14" t="e">
        <f>IF(#REF!,"AAAAAHvff7k=",0)</f>
        <v>#REF!</v>
      </c>
      <c r="GE14" t="e">
        <f>AND(#REF!,"AAAAAHvff7o=")</f>
        <v>#REF!</v>
      </c>
      <c r="GF14" t="e">
        <f>AND(#REF!,"AAAAAHvff7s=")</f>
        <v>#REF!</v>
      </c>
      <c r="GG14" t="e">
        <f>AND(#REF!,"AAAAAHvff7w=")</f>
        <v>#REF!</v>
      </c>
      <c r="GH14" t="e">
        <f>AND(#REF!,"AAAAAHvff70=")</f>
        <v>#REF!</v>
      </c>
      <c r="GI14" t="e">
        <f>AND(#REF!,"AAAAAHvff74=")</f>
        <v>#REF!</v>
      </c>
      <c r="GJ14" t="e">
        <f>AND(#REF!,"AAAAAHvff78=")</f>
        <v>#REF!</v>
      </c>
      <c r="GK14" t="e">
        <f>AND(#REF!,"AAAAAHvff8A=")</f>
        <v>#REF!</v>
      </c>
      <c r="GL14" t="e">
        <f>AND(#REF!,"AAAAAHvff8E=")</f>
        <v>#REF!</v>
      </c>
      <c r="GM14" t="e">
        <f>AND(#REF!,"AAAAAHvff8I=")</f>
        <v>#REF!</v>
      </c>
      <c r="GN14" t="e">
        <f>AND(#REF!,"AAAAAHvff8M=")</f>
        <v>#REF!</v>
      </c>
      <c r="GO14" t="e">
        <f>AND(#REF!,"AAAAAHvff8Q=")</f>
        <v>#REF!</v>
      </c>
      <c r="GP14" t="e">
        <f>AND(#REF!,"AAAAAHvff8U=")</f>
        <v>#REF!</v>
      </c>
      <c r="GQ14" t="e">
        <f>IF(#REF!,"AAAAAHvff8Y=",0)</f>
        <v>#REF!</v>
      </c>
      <c r="GR14" t="e">
        <f>AND(#REF!,"AAAAAHvff8c=")</f>
        <v>#REF!</v>
      </c>
      <c r="GS14" t="e">
        <f>AND(#REF!,"AAAAAHvff8g=")</f>
        <v>#REF!</v>
      </c>
      <c r="GT14" t="e">
        <f>AND(#REF!,"AAAAAHvff8k=")</f>
        <v>#REF!</v>
      </c>
      <c r="GU14" t="e">
        <f>AND(#REF!,"AAAAAHvff8o=")</f>
        <v>#REF!</v>
      </c>
      <c r="GV14" t="e">
        <f>AND(#REF!,"AAAAAHvff8s=")</f>
        <v>#REF!</v>
      </c>
      <c r="GW14" t="e">
        <f>AND(#REF!,"AAAAAHvff8w=")</f>
        <v>#REF!</v>
      </c>
      <c r="GX14" t="e">
        <f>AND(#REF!,"AAAAAHvff80=")</f>
        <v>#REF!</v>
      </c>
      <c r="GY14" t="e">
        <f>AND(#REF!,"AAAAAHvff84=")</f>
        <v>#REF!</v>
      </c>
      <c r="GZ14" t="e">
        <f>AND(#REF!,"AAAAAHvff88=")</f>
        <v>#REF!</v>
      </c>
      <c r="HA14" t="e">
        <f>AND(#REF!,"AAAAAHvff9A=")</f>
        <v>#REF!</v>
      </c>
      <c r="HB14" t="e">
        <f>AND(#REF!,"AAAAAHvff9E=")</f>
        <v>#REF!</v>
      </c>
      <c r="HC14" t="e">
        <f>AND(#REF!,"AAAAAHvff9I=")</f>
        <v>#REF!</v>
      </c>
      <c r="HD14" t="e">
        <f>IF(#REF!,"AAAAAHvff9M=",0)</f>
        <v>#REF!</v>
      </c>
      <c r="HE14" t="e">
        <f>AND(#REF!,"AAAAAHvff9Q=")</f>
        <v>#REF!</v>
      </c>
      <c r="HF14" t="e">
        <f>AND(#REF!,"AAAAAHvff9U=")</f>
        <v>#REF!</v>
      </c>
      <c r="HG14" t="e">
        <f>AND(#REF!,"AAAAAHvff9Y=")</f>
        <v>#REF!</v>
      </c>
      <c r="HH14" t="e">
        <f>AND(#REF!,"AAAAAHvff9c=")</f>
        <v>#REF!</v>
      </c>
      <c r="HI14" t="e">
        <f>AND(#REF!,"AAAAAHvff9g=")</f>
        <v>#REF!</v>
      </c>
      <c r="HJ14" t="e">
        <f>AND(#REF!,"AAAAAHvff9k=")</f>
        <v>#REF!</v>
      </c>
      <c r="HK14" t="e">
        <f>AND(#REF!,"AAAAAHvff9o=")</f>
        <v>#REF!</v>
      </c>
      <c r="HL14" t="e">
        <f>AND(#REF!,"AAAAAHvff9s=")</f>
        <v>#REF!</v>
      </c>
      <c r="HM14" t="e">
        <f>AND(#REF!,"AAAAAHvff9w=")</f>
        <v>#REF!</v>
      </c>
      <c r="HN14" t="e">
        <f>AND(#REF!,"AAAAAHvff90=")</f>
        <v>#REF!</v>
      </c>
      <c r="HO14" t="e">
        <f>AND(#REF!,"AAAAAHvff94=")</f>
        <v>#REF!</v>
      </c>
      <c r="HP14" t="e">
        <f>AND(#REF!,"AAAAAHvff98=")</f>
        <v>#REF!</v>
      </c>
      <c r="HQ14" t="e">
        <f>IF(#REF!,"AAAAAHvff+A=",0)</f>
        <v>#REF!</v>
      </c>
      <c r="HR14" t="e">
        <f>AND(#REF!,"AAAAAHvff+E=")</f>
        <v>#REF!</v>
      </c>
      <c r="HS14" t="e">
        <f>AND(#REF!,"AAAAAHvff+I=")</f>
        <v>#REF!</v>
      </c>
      <c r="HT14" t="e">
        <f>AND(#REF!,"AAAAAHvff+M=")</f>
        <v>#REF!</v>
      </c>
      <c r="HU14" t="e">
        <f>AND(#REF!,"AAAAAHvff+Q=")</f>
        <v>#REF!</v>
      </c>
      <c r="HV14" t="e">
        <f>AND(#REF!,"AAAAAHvff+U=")</f>
        <v>#REF!</v>
      </c>
      <c r="HW14" t="e">
        <f>AND(#REF!,"AAAAAHvff+Y=")</f>
        <v>#REF!</v>
      </c>
      <c r="HX14" t="e">
        <f>AND(#REF!,"AAAAAHvff+c=")</f>
        <v>#REF!</v>
      </c>
      <c r="HY14" t="e">
        <f>AND(#REF!,"AAAAAHvff+g=")</f>
        <v>#REF!</v>
      </c>
      <c r="HZ14" t="e">
        <f>AND(#REF!,"AAAAAHvff+k=")</f>
        <v>#REF!</v>
      </c>
      <c r="IA14" t="e">
        <f>AND(#REF!,"AAAAAHvff+o=")</f>
        <v>#REF!</v>
      </c>
      <c r="IB14" t="e">
        <f>AND(#REF!,"AAAAAHvff+s=")</f>
        <v>#REF!</v>
      </c>
      <c r="IC14" t="e">
        <f>AND(#REF!,"AAAAAHvff+w=")</f>
        <v>#REF!</v>
      </c>
      <c r="ID14" t="e">
        <f>IF(#REF!,"AAAAAHvff+0=",0)</f>
        <v>#REF!</v>
      </c>
      <c r="IE14" t="e">
        <f>AND(#REF!,"AAAAAHvff+4=")</f>
        <v>#REF!</v>
      </c>
      <c r="IF14" t="e">
        <f>AND(#REF!,"AAAAAHvff+8=")</f>
        <v>#REF!</v>
      </c>
      <c r="IG14" t="e">
        <f>AND(#REF!,"AAAAAHvff/A=")</f>
        <v>#REF!</v>
      </c>
      <c r="IH14" t="e">
        <f>AND(#REF!,"AAAAAHvff/E=")</f>
        <v>#REF!</v>
      </c>
      <c r="II14" t="e">
        <f>AND(#REF!,"AAAAAHvff/I=")</f>
        <v>#REF!</v>
      </c>
      <c r="IJ14" t="e">
        <f>AND(#REF!,"AAAAAHvff/M=")</f>
        <v>#REF!</v>
      </c>
      <c r="IK14" t="e">
        <f>AND(#REF!,"AAAAAHvff/Q=")</f>
        <v>#REF!</v>
      </c>
      <c r="IL14" t="e">
        <f>AND(#REF!,"AAAAAHvff/U=")</f>
        <v>#REF!</v>
      </c>
      <c r="IM14" t="e">
        <f>AND(#REF!,"AAAAAHvff/Y=")</f>
        <v>#REF!</v>
      </c>
      <c r="IN14" t="e">
        <f>AND(#REF!,"AAAAAHvff/c=")</f>
        <v>#REF!</v>
      </c>
      <c r="IO14" t="e">
        <f>AND(#REF!,"AAAAAHvff/g=")</f>
        <v>#REF!</v>
      </c>
      <c r="IP14" t="e">
        <f>AND(#REF!,"AAAAAHvff/k=")</f>
        <v>#REF!</v>
      </c>
      <c r="IQ14" t="e">
        <f>IF(#REF!,"AAAAAHvff/o=",0)</f>
        <v>#REF!</v>
      </c>
      <c r="IR14" t="e">
        <f>AND(#REF!,"AAAAAHvff/s=")</f>
        <v>#REF!</v>
      </c>
      <c r="IS14" t="e">
        <f>AND(#REF!,"AAAAAHvff/w=")</f>
        <v>#REF!</v>
      </c>
      <c r="IT14" t="e">
        <f>AND(#REF!,"AAAAAHvff/0=")</f>
        <v>#REF!</v>
      </c>
      <c r="IU14" t="e">
        <f>AND(#REF!,"AAAAAHvff/4=")</f>
        <v>#REF!</v>
      </c>
      <c r="IV14" t="e">
        <f>AND(#REF!,"AAAAAHvff/8=")</f>
        <v>#REF!</v>
      </c>
    </row>
    <row r="15" spans="1:256" x14ac:dyDescent="0.2">
      <c r="A15" t="e">
        <f>AND(#REF!,"AAAAAH9n1wA=")</f>
        <v>#REF!</v>
      </c>
      <c r="B15" t="e">
        <f>AND(#REF!,"AAAAAH9n1wE=")</f>
        <v>#REF!</v>
      </c>
      <c r="C15" t="e">
        <f>AND(#REF!,"AAAAAH9n1wI=")</f>
        <v>#REF!</v>
      </c>
      <c r="D15" t="e">
        <f>AND(#REF!,"AAAAAH9n1wM=")</f>
        <v>#REF!</v>
      </c>
      <c r="E15" t="e">
        <f>AND(#REF!,"AAAAAH9n1wQ=")</f>
        <v>#REF!</v>
      </c>
      <c r="F15" t="e">
        <f>AND(#REF!,"AAAAAH9n1wU=")</f>
        <v>#REF!</v>
      </c>
      <c r="G15" t="e">
        <f>AND(#REF!,"AAAAAH9n1wY=")</f>
        <v>#REF!</v>
      </c>
      <c r="H15" t="e">
        <f>IF(#REF!,"AAAAAH9n1wc=",0)</f>
        <v>#REF!</v>
      </c>
      <c r="I15" t="e">
        <f>IF(#REF!,"AAAAAH9n1wg=",0)</f>
        <v>#REF!</v>
      </c>
      <c r="J15" t="e">
        <f>IF(#REF!,"AAAAAH9n1wk=",0)</f>
        <v>#REF!</v>
      </c>
      <c r="K15" t="e">
        <f>IF(#REF!,"AAAAAH9n1wo=",0)</f>
        <v>#REF!</v>
      </c>
      <c r="L15" t="e">
        <f>IF(#REF!,"AAAAAH9n1ws=",0)</f>
        <v>#REF!</v>
      </c>
      <c r="M15" t="e">
        <f>IF(#REF!,"AAAAAH9n1ww=",0)</f>
        <v>#REF!</v>
      </c>
      <c r="N15" t="e">
        <f>IF(#REF!,"AAAAAH9n1w0=",0)</f>
        <v>#REF!</v>
      </c>
      <c r="O15" t="e">
        <f>IF(#REF!,"AAAAAH9n1w4=",0)</f>
        <v>#REF!</v>
      </c>
      <c r="P15" t="e">
        <f>IF(#REF!,"AAAAAH9n1w8=",0)</f>
        <v>#REF!</v>
      </c>
      <c r="Q15" t="e">
        <f>IF(#REF!,"AAAAAH9n1xA=",0)</f>
        <v>#REF!</v>
      </c>
      <c r="R15" t="e">
        <f>IF(#REF!,"AAAAAH9n1xE=",0)</f>
        <v>#REF!</v>
      </c>
      <c r="S15" t="e">
        <f>IF(#REF!,"AAAAAH9n1xI=",0)</f>
        <v>#REF!</v>
      </c>
      <c r="T15" t="e">
        <f>IF(#REF!,"AAAAAH9n1xM=",0)</f>
        <v>#REF!</v>
      </c>
      <c r="U15" t="e">
        <f>IF(#REF!,"AAAAAH9n1xQ=",0)</f>
        <v>#REF!</v>
      </c>
      <c r="V15" t="e">
        <f>IF(#REF!,"AAAAAH9n1xU=",0)</f>
        <v>#REF!</v>
      </c>
      <c r="W15" t="e">
        <f>AND(#REF!,"AAAAAH9n1xY=")</f>
        <v>#REF!</v>
      </c>
      <c r="X15" t="e">
        <f>AND(#REF!,"AAAAAH9n1xc=")</f>
        <v>#REF!</v>
      </c>
      <c r="Y15" t="e">
        <f>AND(#REF!,"AAAAAH9n1xg=")</f>
        <v>#REF!</v>
      </c>
      <c r="Z15" t="e">
        <f>AND(#REF!,"AAAAAH9n1xk=")</f>
        <v>#REF!</v>
      </c>
      <c r="AA15" t="e">
        <f>AND(#REF!,"AAAAAH9n1xo=")</f>
        <v>#REF!</v>
      </c>
      <c r="AB15" t="e">
        <f>AND(#REF!,"AAAAAH9n1xs=")</f>
        <v>#REF!</v>
      </c>
      <c r="AC15" t="e">
        <f>AND(#REF!,"AAAAAH9n1xw=")</f>
        <v>#REF!</v>
      </c>
      <c r="AD15" t="e">
        <f>AND(#REF!,"AAAAAH9n1x0=")</f>
        <v>#REF!</v>
      </c>
      <c r="AE15" t="e">
        <f>IF(#REF!,"AAAAAH9n1x4=",0)</f>
        <v>#REF!</v>
      </c>
      <c r="AF15" t="e">
        <f>AND(#REF!,"AAAAAH9n1x8=")</f>
        <v>#REF!</v>
      </c>
      <c r="AG15" t="e">
        <f>AND(#REF!,"AAAAAH9n1yA=")</f>
        <v>#REF!</v>
      </c>
      <c r="AH15" t="e">
        <f>AND(#REF!,"AAAAAH9n1yE=")</f>
        <v>#REF!</v>
      </c>
      <c r="AI15" t="e">
        <f>AND(#REF!,"AAAAAH9n1yI=")</f>
        <v>#REF!</v>
      </c>
      <c r="AJ15" t="e">
        <f>AND(#REF!,"AAAAAH9n1yM=")</f>
        <v>#REF!</v>
      </c>
      <c r="AK15" t="e">
        <f>AND(#REF!,"AAAAAH9n1yQ=")</f>
        <v>#REF!</v>
      </c>
      <c r="AL15" t="e">
        <f>AND(#REF!,"AAAAAH9n1yU=")</f>
        <v>#REF!</v>
      </c>
      <c r="AM15" t="e">
        <f>AND(#REF!,"AAAAAH9n1yY=")</f>
        <v>#REF!</v>
      </c>
      <c r="AN15" t="e">
        <f>IF(#REF!,"AAAAAH9n1yc=",0)</f>
        <v>#REF!</v>
      </c>
      <c r="AO15" t="e">
        <f>AND(#REF!,"AAAAAH9n1yg=")</f>
        <v>#REF!</v>
      </c>
      <c r="AP15" t="e">
        <f>AND(#REF!,"AAAAAH9n1yk=")</f>
        <v>#REF!</v>
      </c>
      <c r="AQ15" t="e">
        <f>AND(#REF!,"AAAAAH9n1yo=")</f>
        <v>#REF!</v>
      </c>
      <c r="AR15" t="e">
        <f>AND(#REF!,"AAAAAH9n1ys=")</f>
        <v>#REF!</v>
      </c>
      <c r="AS15" t="e">
        <f>AND(#REF!,"AAAAAH9n1yw=")</f>
        <v>#REF!</v>
      </c>
      <c r="AT15" t="e">
        <f>AND(#REF!,"AAAAAH9n1y0=")</f>
        <v>#REF!</v>
      </c>
      <c r="AU15" t="e">
        <f>AND(#REF!,"AAAAAH9n1y4=")</f>
        <v>#REF!</v>
      </c>
      <c r="AV15" t="e">
        <f>AND(#REF!,"AAAAAH9n1y8=")</f>
        <v>#REF!</v>
      </c>
      <c r="AW15" t="e">
        <f>IF(#REF!,"AAAAAH9n1zA=",0)</f>
        <v>#REF!</v>
      </c>
      <c r="AX15" t="e">
        <f>AND(#REF!,"AAAAAH9n1zE=")</f>
        <v>#REF!</v>
      </c>
      <c r="AY15" t="e">
        <f>AND(#REF!,"AAAAAH9n1zI=")</f>
        <v>#REF!</v>
      </c>
      <c r="AZ15" t="e">
        <f>AND(#REF!,"AAAAAH9n1zM=")</f>
        <v>#REF!</v>
      </c>
      <c r="BA15" t="e">
        <f>AND(#REF!,"AAAAAH9n1zQ=")</f>
        <v>#REF!</v>
      </c>
      <c r="BB15" t="e">
        <f>AND(#REF!,"AAAAAH9n1zU=")</f>
        <v>#REF!</v>
      </c>
      <c r="BC15" t="e">
        <f>AND(#REF!,"AAAAAH9n1zY=")</f>
        <v>#REF!</v>
      </c>
      <c r="BD15" t="e">
        <f>AND(#REF!,"AAAAAH9n1zc=")</f>
        <v>#REF!</v>
      </c>
      <c r="BE15" t="e">
        <f>AND(#REF!,"AAAAAH9n1zg=")</f>
        <v>#REF!</v>
      </c>
      <c r="BF15" t="e">
        <f>IF(#REF!,"AAAAAH9n1zk=",0)</f>
        <v>#REF!</v>
      </c>
      <c r="BG15" t="e">
        <f>AND(#REF!,"AAAAAH9n1zo=")</f>
        <v>#REF!</v>
      </c>
      <c r="BH15" t="e">
        <f>AND(#REF!,"AAAAAH9n1zs=")</f>
        <v>#REF!</v>
      </c>
      <c r="BI15" t="e">
        <f>AND(#REF!,"AAAAAH9n1zw=")</f>
        <v>#REF!</v>
      </c>
      <c r="BJ15" t="e">
        <f>AND(#REF!,"AAAAAH9n1z0=")</f>
        <v>#REF!</v>
      </c>
      <c r="BK15" t="e">
        <f>AND(#REF!,"AAAAAH9n1z4=")</f>
        <v>#REF!</v>
      </c>
      <c r="BL15" t="e">
        <f>AND(#REF!,"AAAAAH9n1z8=")</f>
        <v>#REF!</v>
      </c>
      <c r="BM15" t="e">
        <f>AND(#REF!,"AAAAAH9n10A=")</f>
        <v>#REF!</v>
      </c>
      <c r="BN15" t="e">
        <f>AND(#REF!,"AAAAAH9n10E=")</f>
        <v>#REF!</v>
      </c>
      <c r="BO15" t="e">
        <f>IF(#REF!,"AAAAAH9n10I=",0)</f>
        <v>#REF!</v>
      </c>
      <c r="BP15" t="e">
        <f>AND(#REF!,"AAAAAH9n10M=")</f>
        <v>#REF!</v>
      </c>
      <c r="BQ15" t="e">
        <f>AND(#REF!,"AAAAAH9n10Q=")</f>
        <v>#REF!</v>
      </c>
      <c r="BR15" t="e">
        <f>AND(#REF!,"AAAAAH9n10U=")</f>
        <v>#REF!</v>
      </c>
      <c r="BS15" t="e">
        <f>AND(#REF!,"AAAAAH9n10Y=")</f>
        <v>#REF!</v>
      </c>
      <c r="BT15" t="e">
        <f>AND(#REF!,"AAAAAH9n10c=")</f>
        <v>#REF!</v>
      </c>
      <c r="BU15" t="e">
        <f>AND(#REF!,"AAAAAH9n10g=")</f>
        <v>#REF!</v>
      </c>
      <c r="BV15" t="e">
        <f>AND(#REF!,"AAAAAH9n10k=")</f>
        <v>#REF!</v>
      </c>
      <c r="BW15" t="e">
        <f>AND(#REF!,"AAAAAH9n10o=")</f>
        <v>#REF!</v>
      </c>
      <c r="BX15" t="e">
        <f>IF(#REF!,"AAAAAH9n10s=",0)</f>
        <v>#REF!</v>
      </c>
      <c r="BY15" t="e">
        <f>AND(#REF!,"AAAAAH9n10w=")</f>
        <v>#REF!</v>
      </c>
      <c r="BZ15" t="e">
        <f>AND(#REF!,"AAAAAH9n100=")</f>
        <v>#REF!</v>
      </c>
      <c r="CA15" t="e">
        <f>AND(#REF!,"AAAAAH9n104=")</f>
        <v>#REF!</v>
      </c>
      <c r="CB15" t="e">
        <f>AND(#REF!,"AAAAAH9n108=")</f>
        <v>#REF!</v>
      </c>
      <c r="CC15" t="e">
        <f>AND(#REF!,"AAAAAH9n11A=")</f>
        <v>#REF!</v>
      </c>
      <c r="CD15" t="e">
        <f>AND(#REF!,"AAAAAH9n11E=")</f>
        <v>#REF!</v>
      </c>
      <c r="CE15" t="e">
        <f>AND(#REF!,"AAAAAH9n11I=")</f>
        <v>#REF!</v>
      </c>
      <c r="CF15" t="e">
        <f>AND(#REF!,"AAAAAH9n11M=")</f>
        <v>#REF!</v>
      </c>
      <c r="CG15" t="e">
        <f>IF(#REF!,"AAAAAH9n11Q=",0)</f>
        <v>#REF!</v>
      </c>
      <c r="CH15" t="e">
        <f>AND(#REF!,"AAAAAH9n11U=")</f>
        <v>#REF!</v>
      </c>
      <c r="CI15" t="e">
        <f>AND(#REF!,"AAAAAH9n11Y=")</f>
        <v>#REF!</v>
      </c>
      <c r="CJ15" t="e">
        <f>AND(#REF!,"AAAAAH9n11c=")</f>
        <v>#REF!</v>
      </c>
      <c r="CK15" t="e">
        <f>AND(#REF!,"AAAAAH9n11g=")</f>
        <v>#REF!</v>
      </c>
      <c r="CL15" t="e">
        <f>AND(#REF!,"AAAAAH9n11k=")</f>
        <v>#REF!</v>
      </c>
      <c r="CM15" t="e">
        <f>AND(#REF!,"AAAAAH9n11o=")</f>
        <v>#REF!</v>
      </c>
      <c r="CN15" t="e">
        <f>AND(#REF!,"AAAAAH9n11s=")</f>
        <v>#REF!</v>
      </c>
      <c r="CO15" t="e">
        <f>AND(#REF!,"AAAAAH9n11w=")</f>
        <v>#REF!</v>
      </c>
      <c r="CP15" t="e">
        <f>IF(#REF!,"AAAAAH9n110=",0)</f>
        <v>#REF!</v>
      </c>
      <c r="CQ15" t="e">
        <f>AND(#REF!,"AAAAAH9n114=")</f>
        <v>#REF!</v>
      </c>
      <c r="CR15" t="e">
        <f>AND(#REF!,"AAAAAH9n118=")</f>
        <v>#REF!</v>
      </c>
      <c r="CS15" t="e">
        <f>AND(#REF!,"AAAAAH9n12A=")</f>
        <v>#REF!</v>
      </c>
      <c r="CT15" t="e">
        <f>AND(#REF!,"AAAAAH9n12E=")</f>
        <v>#REF!</v>
      </c>
      <c r="CU15" t="e">
        <f>AND(#REF!,"AAAAAH9n12I=")</f>
        <v>#REF!</v>
      </c>
      <c r="CV15" t="e">
        <f>AND(#REF!,"AAAAAH9n12M=")</f>
        <v>#REF!</v>
      </c>
      <c r="CW15" t="e">
        <f>AND(#REF!,"AAAAAH9n12Q=")</f>
        <v>#REF!</v>
      </c>
      <c r="CX15" t="e">
        <f>AND(#REF!,"AAAAAH9n12U=")</f>
        <v>#REF!</v>
      </c>
      <c r="CY15" t="e">
        <f>IF(#REF!,"AAAAAH9n12Y=",0)</f>
        <v>#REF!</v>
      </c>
      <c r="CZ15" t="e">
        <f>AND(#REF!,"AAAAAH9n12c=")</f>
        <v>#REF!</v>
      </c>
      <c r="DA15" t="e">
        <f>AND(#REF!,"AAAAAH9n12g=")</f>
        <v>#REF!</v>
      </c>
      <c r="DB15" t="e">
        <f>AND(#REF!,"AAAAAH9n12k=")</f>
        <v>#REF!</v>
      </c>
      <c r="DC15" t="e">
        <f>AND(#REF!,"AAAAAH9n12o=")</f>
        <v>#REF!</v>
      </c>
      <c r="DD15" t="e">
        <f>AND(#REF!,"AAAAAH9n12s=")</f>
        <v>#REF!</v>
      </c>
      <c r="DE15" t="e">
        <f>AND(#REF!,"AAAAAH9n12w=")</f>
        <v>#REF!</v>
      </c>
      <c r="DF15" t="e">
        <f>AND(#REF!,"AAAAAH9n120=")</f>
        <v>#REF!</v>
      </c>
      <c r="DG15" t="e">
        <f>AND(#REF!,"AAAAAH9n124=")</f>
        <v>#REF!</v>
      </c>
      <c r="DH15" t="e">
        <f>IF(#REF!,"AAAAAH9n128=",0)</f>
        <v>#REF!</v>
      </c>
      <c r="DI15" t="e">
        <f>AND(#REF!,"AAAAAH9n13A=")</f>
        <v>#REF!</v>
      </c>
      <c r="DJ15" t="e">
        <f>AND(#REF!,"AAAAAH9n13E=")</f>
        <v>#REF!</v>
      </c>
      <c r="DK15" t="e">
        <f>AND(#REF!,"AAAAAH9n13I=")</f>
        <v>#REF!</v>
      </c>
      <c r="DL15" t="e">
        <f>AND(#REF!,"AAAAAH9n13M=")</f>
        <v>#REF!</v>
      </c>
      <c r="DM15" t="e">
        <f>AND(#REF!,"AAAAAH9n13Q=")</f>
        <v>#REF!</v>
      </c>
      <c r="DN15" t="e">
        <f>AND(#REF!,"AAAAAH9n13U=")</f>
        <v>#REF!</v>
      </c>
      <c r="DO15" t="e">
        <f>AND(#REF!,"AAAAAH9n13Y=")</f>
        <v>#REF!</v>
      </c>
      <c r="DP15" t="e">
        <f>AND(#REF!,"AAAAAH9n13c=")</f>
        <v>#REF!</v>
      </c>
      <c r="DQ15" t="e">
        <f>IF(#REF!,"AAAAAH9n13g=",0)</f>
        <v>#REF!</v>
      </c>
      <c r="DR15" t="e">
        <f>AND(#REF!,"AAAAAH9n13k=")</f>
        <v>#REF!</v>
      </c>
      <c r="DS15" t="e">
        <f>AND(#REF!,"AAAAAH9n13o=")</f>
        <v>#REF!</v>
      </c>
      <c r="DT15" t="e">
        <f>AND(#REF!,"AAAAAH9n13s=")</f>
        <v>#REF!</v>
      </c>
      <c r="DU15" t="e">
        <f>AND(#REF!,"AAAAAH9n13w=")</f>
        <v>#REF!</v>
      </c>
      <c r="DV15" t="e">
        <f>AND(#REF!,"AAAAAH9n130=")</f>
        <v>#REF!</v>
      </c>
      <c r="DW15" t="e">
        <f>AND(#REF!,"AAAAAH9n134=")</f>
        <v>#REF!</v>
      </c>
      <c r="DX15" t="e">
        <f>AND(#REF!,"AAAAAH9n138=")</f>
        <v>#REF!</v>
      </c>
      <c r="DY15" t="e">
        <f>AND(#REF!,"AAAAAH9n14A=")</f>
        <v>#REF!</v>
      </c>
      <c r="DZ15" t="e">
        <f>IF(#REF!,"AAAAAH9n14E=",0)</f>
        <v>#REF!</v>
      </c>
      <c r="EA15" t="e">
        <f>AND(#REF!,"AAAAAH9n14I=")</f>
        <v>#REF!</v>
      </c>
      <c r="EB15" t="e">
        <f>AND(#REF!,"AAAAAH9n14M=")</f>
        <v>#REF!</v>
      </c>
      <c r="EC15" t="e">
        <f>AND(#REF!,"AAAAAH9n14Q=")</f>
        <v>#REF!</v>
      </c>
      <c r="ED15" t="e">
        <f>AND(#REF!,"AAAAAH9n14U=")</f>
        <v>#REF!</v>
      </c>
      <c r="EE15" t="e">
        <f>AND(#REF!,"AAAAAH9n14Y=")</f>
        <v>#REF!</v>
      </c>
      <c r="EF15" t="e">
        <f>AND(#REF!,"AAAAAH9n14c=")</f>
        <v>#REF!</v>
      </c>
      <c r="EG15" t="e">
        <f>AND(#REF!,"AAAAAH9n14g=")</f>
        <v>#REF!</v>
      </c>
      <c r="EH15" t="e">
        <f>AND(#REF!,"AAAAAH9n14k=")</f>
        <v>#REF!</v>
      </c>
      <c r="EI15" t="e">
        <f>IF(#REF!,"AAAAAH9n14o=",0)</f>
        <v>#REF!</v>
      </c>
      <c r="EJ15" t="e">
        <f>AND(#REF!,"AAAAAH9n14s=")</f>
        <v>#REF!</v>
      </c>
      <c r="EK15" t="e">
        <f>AND(#REF!,"AAAAAH9n14w=")</f>
        <v>#REF!</v>
      </c>
      <c r="EL15" t="e">
        <f>AND(#REF!,"AAAAAH9n140=")</f>
        <v>#REF!</v>
      </c>
      <c r="EM15" t="e">
        <f>AND(#REF!,"AAAAAH9n144=")</f>
        <v>#REF!</v>
      </c>
      <c r="EN15" t="e">
        <f>AND(#REF!,"AAAAAH9n148=")</f>
        <v>#REF!</v>
      </c>
      <c r="EO15" t="e">
        <f>AND(#REF!,"AAAAAH9n15A=")</f>
        <v>#REF!</v>
      </c>
      <c r="EP15" t="e">
        <f>AND(#REF!,"AAAAAH9n15E=")</f>
        <v>#REF!</v>
      </c>
      <c r="EQ15" t="e">
        <f>AND(#REF!,"AAAAAH9n15I=")</f>
        <v>#REF!</v>
      </c>
      <c r="ER15" t="e">
        <f>IF(#REF!,"AAAAAH9n15M=",0)</f>
        <v>#REF!</v>
      </c>
      <c r="ES15" t="e">
        <f>AND(#REF!,"AAAAAH9n15Q=")</f>
        <v>#REF!</v>
      </c>
      <c r="ET15" t="e">
        <f>AND(#REF!,"AAAAAH9n15U=")</f>
        <v>#REF!</v>
      </c>
      <c r="EU15" t="e">
        <f>AND(#REF!,"AAAAAH9n15Y=")</f>
        <v>#REF!</v>
      </c>
      <c r="EV15" t="e">
        <f>AND(#REF!,"AAAAAH9n15c=")</f>
        <v>#REF!</v>
      </c>
      <c r="EW15" t="e">
        <f>AND(#REF!,"AAAAAH9n15g=")</f>
        <v>#REF!</v>
      </c>
      <c r="EX15" t="e">
        <f>AND(#REF!,"AAAAAH9n15k=")</f>
        <v>#REF!</v>
      </c>
      <c r="EY15" t="e">
        <f>AND(#REF!,"AAAAAH9n15o=")</f>
        <v>#REF!</v>
      </c>
      <c r="EZ15" t="e">
        <f>AND(#REF!,"AAAAAH9n15s=")</f>
        <v>#REF!</v>
      </c>
      <c r="FA15" t="e">
        <f>IF(#REF!,"AAAAAH9n15w=",0)</f>
        <v>#REF!</v>
      </c>
      <c r="FB15" t="e">
        <f>AND(#REF!,"AAAAAH9n150=")</f>
        <v>#REF!</v>
      </c>
      <c r="FC15" t="e">
        <f>AND(#REF!,"AAAAAH9n154=")</f>
        <v>#REF!</v>
      </c>
      <c r="FD15" t="e">
        <f>AND(#REF!,"AAAAAH9n158=")</f>
        <v>#REF!</v>
      </c>
      <c r="FE15" t="e">
        <f>AND(#REF!,"AAAAAH9n16A=")</f>
        <v>#REF!</v>
      </c>
      <c r="FF15" t="e">
        <f>AND(#REF!,"AAAAAH9n16E=")</f>
        <v>#REF!</v>
      </c>
      <c r="FG15" t="e">
        <f>AND(#REF!,"AAAAAH9n16I=")</f>
        <v>#REF!</v>
      </c>
      <c r="FH15" t="e">
        <f>AND(#REF!,"AAAAAH9n16M=")</f>
        <v>#REF!</v>
      </c>
      <c r="FI15" t="e">
        <f>AND(#REF!,"AAAAAH9n16Q=")</f>
        <v>#REF!</v>
      </c>
      <c r="FJ15" t="e">
        <f>IF(#REF!,"AAAAAH9n16U=",0)</f>
        <v>#REF!</v>
      </c>
      <c r="FK15" t="e">
        <f>AND(#REF!,"AAAAAH9n16Y=")</f>
        <v>#REF!</v>
      </c>
      <c r="FL15" t="e">
        <f>AND(#REF!,"AAAAAH9n16c=")</f>
        <v>#REF!</v>
      </c>
      <c r="FM15" t="e">
        <f>AND(#REF!,"AAAAAH9n16g=")</f>
        <v>#REF!</v>
      </c>
      <c r="FN15" t="e">
        <f>AND(#REF!,"AAAAAH9n16k=")</f>
        <v>#REF!</v>
      </c>
      <c r="FO15" t="e">
        <f>AND(#REF!,"AAAAAH9n16o=")</f>
        <v>#REF!</v>
      </c>
      <c r="FP15" t="e">
        <f>AND(#REF!,"AAAAAH9n16s=")</f>
        <v>#REF!</v>
      </c>
      <c r="FQ15" t="e">
        <f>AND(#REF!,"AAAAAH9n16w=")</f>
        <v>#REF!</v>
      </c>
      <c r="FR15" t="e">
        <f>AND(#REF!,"AAAAAH9n160=")</f>
        <v>#REF!</v>
      </c>
      <c r="FS15" t="e">
        <f>IF(#REF!,"AAAAAH9n164=",0)</f>
        <v>#REF!</v>
      </c>
      <c r="FT15" t="e">
        <f>AND(#REF!,"AAAAAH9n168=")</f>
        <v>#REF!</v>
      </c>
      <c r="FU15" t="e">
        <f>AND(#REF!,"AAAAAH9n17A=")</f>
        <v>#REF!</v>
      </c>
      <c r="FV15" t="e">
        <f>AND(#REF!,"AAAAAH9n17E=")</f>
        <v>#REF!</v>
      </c>
      <c r="FW15" t="e">
        <f>AND(#REF!,"AAAAAH9n17I=")</f>
        <v>#REF!</v>
      </c>
      <c r="FX15" t="e">
        <f>AND(#REF!,"AAAAAH9n17M=")</f>
        <v>#REF!</v>
      </c>
      <c r="FY15" t="e">
        <f>AND(#REF!,"AAAAAH9n17Q=")</f>
        <v>#REF!</v>
      </c>
      <c r="FZ15" t="e">
        <f>AND(#REF!,"AAAAAH9n17U=")</f>
        <v>#REF!</v>
      </c>
      <c r="GA15" t="e">
        <f>AND(#REF!,"AAAAAH9n17Y=")</f>
        <v>#REF!</v>
      </c>
      <c r="GB15" t="e">
        <f>IF(#REF!,"AAAAAH9n17c=",0)</f>
        <v>#REF!</v>
      </c>
      <c r="GC15" t="e">
        <f>AND(#REF!,"AAAAAH9n17g=")</f>
        <v>#REF!</v>
      </c>
      <c r="GD15" t="e">
        <f>AND(#REF!,"AAAAAH9n17k=")</f>
        <v>#REF!</v>
      </c>
      <c r="GE15" t="e">
        <f>AND(#REF!,"AAAAAH9n17o=")</f>
        <v>#REF!</v>
      </c>
      <c r="GF15" t="e">
        <f>AND(#REF!,"AAAAAH9n17s=")</f>
        <v>#REF!</v>
      </c>
      <c r="GG15" t="e">
        <f>AND(#REF!,"AAAAAH9n17w=")</f>
        <v>#REF!</v>
      </c>
      <c r="GH15" t="e">
        <f>AND(#REF!,"AAAAAH9n170=")</f>
        <v>#REF!</v>
      </c>
      <c r="GI15" t="e">
        <f>AND(#REF!,"AAAAAH9n174=")</f>
        <v>#REF!</v>
      </c>
      <c r="GJ15" t="e">
        <f>AND(#REF!,"AAAAAH9n178=")</f>
        <v>#REF!</v>
      </c>
      <c r="GK15" t="e">
        <f>IF(#REF!,"AAAAAH9n18A=",0)</f>
        <v>#REF!</v>
      </c>
      <c r="GL15" t="e">
        <f>AND(#REF!,"AAAAAH9n18E=")</f>
        <v>#REF!</v>
      </c>
      <c r="GM15" t="e">
        <f>AND(#REF!,"AAAAAH9n18I=")</f>
        <v>#REF!</v>
      </c>
      <c r="GN15" t="e">
        <f>AND(#REF!,"AAAAAH9n18M=")</f>
        <v>#REF!</v>
      </c>
      <c r="GO15" t="e">
        <f>AND(#REF!,"AAAAAH9n18Q=")</f>
        <v>#REF!</v>
      </c>
      <c r="GP15" t="e">
        <f>AND(#REF!,"AAAAAH9n18U=")</f>
        <v>#REF!</v>
      </c>
      <c r="GQ15" t="e">
        <f>AND(#REF!,"AAAAAH9n18Y=")</f>
        <v>#REF!</v>
      </c>
      <c r="GR15" t="e">
        <f>AND(#REF!,"AAAAAH9n18c=")</f>
        <v>#REF!</v>
      </c>
      <c r="GS15" t="e">
        <f>AND(#REF!,"AAAAAH9n18g=")</f>
        <v>#REF!</v>
      </c>
      <c r="GT15" t="e">
        <f>IF(#REF!,"AAAAAH9n18k=",0)</f>
        <v>#REF!</v>
      </c>
      <c r="GU15" t="e">
        <f>AND(#REF!,"AAAAAH9n18o=")</f>
        <v>#REF!</v>
      </c>
      <c r="GV15" t="e">
        <f>AND(#REF!,"AAAAAH9n18s=")</f>
        <v>#REF!</v>
      </c>
      <c r="GW15" t="e">
        <f>AND(#REF!,"AAAAAH9n18w=")</f>
        <v>#REF!</v>
      </c>
      <c r="GX15" t="e">
        <f>AND(#REF!,"AAAAAH9n180=")</f>
        <v>#REF!</v>
      </c>
      <c r="GY15" t="e">
        <f>AND(#REF!,"AAAAAH9n184=")</f>
        <v>#REF!</v>
      </c>
      <c r="GZ15" t="e">
        <f>AND(#REF!,"AAAAAH9n188=")</f>
        <v>#REF!</v>
      </c>
      <c r="HA15" t="e">
        <f>AND(#REF!,"AAAAAH9n19A=")</f>
        <v>#REF!</v>
      </c>
      <c r="HB15" t="e">
        <f>AND(#REF!,"AAAAAH9n19E=")</f>
        <v>#REF!</v>
      </c>
      <c r="HC15" t="e">
        <f>IF(#REF!,"AAAAAH9n19I=",0)</f>
        <v>#REF!</v>
      </c>
      <c r="HD15" t="e">
        <f>AND(#REF!,"AAAAAH9n19M=")</f>
        <v>#REF!</v>
      </c>
      <c r="HE15" t="e">
        <f>AND(#REF!,"AAAAAH9n19Q=")</f>
        <v>#REF!</v>
      </c>
      <c r="HF15" t="e">
        <f>AND(#REF!,"AAAAAH9n19U=")</f>
        <v>#REF!</v>
      </c>
      <c r="HG15" t="e">
        <f>AND(#REF!,"AAAAAH9n19Y=")</f>
        <v>#REF!</v>
      </c>
      <c r="HH15" t="e">
        <f>AND(#REF!,"AAAAAH9n19c=")</f>
        <v>#REF!</v>
      </c>
      <c r="HI15" t="e">
        <f>AND(#REF!,"AAAAAH9n19g=")</f>
        <v>#REF!</v>
      </c>
      <c r="HJ15" t="e">
        <f>AND(#REF!,"AAAAAH9n19k=")</f>
        <v>#REF!</v>
      </c>
      <c r="HK15" t="e">
        <f>AND(#REF!,"AAAAAH9n19o=")</f>
        <v>#REF!</v>
      </c>
      <c r="HL15" t="e">
        <f>IF(#REF!,"AAAAAH9n19s=",0)</f>
        <v>#REF!</v>
      </c>
      <c r="HM15" t="e">
        <f>AND(#REF!,"AAAAAH9n19w=")</f>
        <v>#REF!</v>
      </c>
      <c r="HN15" t="e">
        <f>AND(#REF!,"AAAAAH9n190=")</f>
        <v>#REF!</v>
      </c>
      <c r="HO15" t="e">
        <f>AND(#REF!,"AAAAAH9n194=")</f>
        <v>#REF!</v>
      </c>
      <c r="HP15" t="e">
        <f>AND(#REF!,"AAAAAH9n198=")</f>
        <v>#REF!</v>
      </c>
      <c r="HQ15" t="e">
        <f>AND(#REF!,"AAAAAH9n1+A=")</f>
        <v>#REF!</v>
      </c>
      <c r="HR15" t="e">
        <f>AND(#REF!,"AAAAAH9n1+E=")</f>
        <v>#REF!</v>
      </c>
      <c r="HS15" t="e">
        <f>AND(#REF!,"AAAAAH9n1+I=")</f>
        <v>#REF!</v>
      </c>
      <c r="HT15" t="e">
        <f>AND(#REF!,"AAAAAH9n1+M=")</f>
        <v>#REF!</v>
      </c>
      <c r="HU15" t="e">
        <f>IF(#REF!,"AAAAAH9n1+Q=",0)</f>
        <v>#REF!</v>
      </c>
      <c r="HV15" t="e">
        <f>AND(#REF!,"AAAAAH9n1+U=")</f>
        <v>#REF!</v>
      </c>
      <c r="HW15" t="e">
        <f>AND(#REF!,"AAAAAH9n1+Y=")</f>
        <v>#REF!</v>
      </c>
      <c r="HX15" t="e">
        <f>AND(#REF!,"AAAAAH9n1+c=")</f>
        <v>#REF!</v>
      </c>
      <c r="HY15" t="e">
        <f>AND(#REF!,"AAAAAH9n1+g=")</f>
        <v>#REF!</v>
      </c>
      <c r="HZ15" t="e">
        <f>AND(#REF!,"AAAAAH9n1+k=")</f>
        <v>#REF!</v>
      </c>
      <c r="IA15" t="e">
        <f>AND(#REF!,"AAAAAH9n1+o=")</f>
        <v>#REF!</v>
      </c>
      <c r="IB15" t="e">
        <f>AND(#REF!,"AAAAAH9n1+s=")</f>
        <v>#REF!</v>
      </c>
      <c r="IC15" t="e">
        <f>AND(#REF!,"AAAAAH9n1+w=")</f>
        <v>#REF!</v>
      </c>
      <c r="ID15" t="e">
        <f>IF(#REF!,"AAAAAH9n1+0=",0)</f>
        <v>#REF!</v>
      </c>
      <c r="IE15" t="e">
        <f>AND(#REF!,"AAAAAH9n1+4=")</f>
        <v>#REF!</v>
      </c>
      <c r="IF15" t="e">
        <f>AND(#REF!,"AAAAAH9n1+8=")</f>
        <v>#REF!</v>
      </c>
      <c r="IG15" t="e">
        <f>AND(#REF!,"AAAAAH9n1/A=")</f>
        <v>#REF!</v>
      </c>
      <c r="IH15" t="e">
        <f>AND(#REF!,"AAAAAH9n1/E=")</f>
        <v>#REF!</v>
      </c>
      <c r="II15" t="e">
        <f>AND(#REF!,"AAAAAH9n1/I=")</f>
        <v>#REF!</v>
      </c>
      <c r="IJ15" t="e">
        <f>AND(#REF!,"AAAAAH9n1/M=")</f>
        <v>#REF!</v>
      </c>
      <c r="IK15" t="e">
        <f>AND(#REF!,"AAAAAH9n1/Q=")</f>
        <v>#REF!</v>
      </c>
      <c r="IL15" t="e">
        <f>AND(#REF!,"AAAAAH9n1/U=")</f>
        <v>#REF!</v>
      </c>
      <c r="IM15" t="e">
        <f>IF(#REF!,"AAAAAH9n1/Y=",0)</f>
        <v>#REF!</v>
      </c>
      <c r="IN15" t="e">
        <f>AND(#REF!,"AAAAAH9n1/c=")</f>
        <v>#REF!</v>
      </c>
      <c r="IO15" t="e">
        <f>AND(#REF!,"AAAAAH9n1/g=")</f>
        <v>#REF!</v>
      </c>
      <c r="IP15" t="e">
        <f>AND(#REF!,"AAAAAH9n1/k=")</f>
        <v>#REF!</v>
      </c>
      <c r="IQ15" t="e">
        <f>AND(#REF!,"AAAAAH9n1/o=")</f>
        <v>#REF!</v>
      </c>
      <c r="IR15" t="e">
        <f>AND(#REF!,"AAAAAH9n1/s=")</f>
        <v>#REF!</v>
      </c>
      <c r="IS15" t="e">
        <f>AND(#REF!,"AAAAAH9n1/w=")</f>
        <v>#REF!</v>
      </c>
      <c r="IT15" t="e">
        <f>AND(#REF!,"AAAAAH9n1/0=")</f>
        <v>#REF!</v>
      </c>
      <c r="IU15" t="e">
        <f>AND(#REF!,"AAAAAH9n1/4=")</f>
        <v>#REF!</v>
      </c>
      <c r="IV15" t="e">
        <f>IF(#REF!,"AAAAAH9n1/8=",0)</f>
        <v>#REF!</v>
      </c>
    </row>
    <row r="16" spans="1:256" x14ac:dyDescent="0.2">
      <c r="A16" t="e">
        <f>AND(#REF!,"AAAAAHyy3gA=")</f>
        <v>#REF!</v>
      </c>
      <c r="B16" t="e">
        <f>AND(#REF!,"AAAAAHyy3gE=")</f>
        <v>#REF!</v>
      </c>
      <c r="C16" t="e">
        <f>AND(#REF!,"AAAAAHyy3gI=")</f>
        <v>#REF!</v>
      </c>
      <c r="D16" t="e">
        <f>AND(#REF!,"AAAAAHyy3gM=")</f>
        <v>#REF!</v>
      </c>
      <c r="E16" t="e">
        <f>AND(#REF!,"AAAAAHyy3gQ=")</f>
        <v>#REF!</v>
      </c>
      <c r="F16" t="e">
        <f>AND(#REF!,"AAAAAHyy3gU=")</f>
        <v>#REF!</v>
      </c>
      <c r="G16" t="e">
        <f>AND(#REF!,"AAAAAHyy3gY=")</f>
        <v>#REF!</v>
      </c>
      <c r="H16" t="e">
        <f>AND(#REF!,"AAAAAHyy3gc=")</f>
        <v>#REF!</v>
      </c>
      <c r="I16" t="e">
        <f>IF(#REF!,"AAAAAHyy3gg=",0)</f>
        <v>#REF!</v>
      </c>
      <c r="J16" t="e">
        <f>AND(#REF!,"AAAAAHyy3gk=")</f>
        <v>#REF!</v>
      </c>
      <c r="K16" t="e">
        <f>AND(#REF!,"AAAAAHyy3go=")</f>
        <v>#REF!</v>
      </c>
      <c r="L16" t="e">
        <f>AND(#REF!,"AAAAAHyy3gs=")</f>
        <v>#REF!</v>
      </c>
      <c r="M16" t="e">
        <f>AND(#REF!,"AAAAAHyy3gw=")</f>
        <v>#REF!</v>
      </c>
      <c r="N16" t="e">
        <f>AND(#REF!,"AAAAAHyy3g0=")</f>
        <v>#REF!</v>
      </c>
      <c r="O16" t="e">
        <f>AND(#REF!,"AAAAAHyy3g4=")</f>
        <v>#REF!</v>
      </c>
      <c r="P16" t="e">
        <f>AND(#REF!,"AAAAAHyy3g8=")</f>
        <v>#REF!</v>
      </c>
      <c r="Q16" t="e">
        <f>AND(#REF!,"AAAAAHyy3hA=")</f>
        <v>#REF!</v>
      </c>
      <c r="R16" t="e">
        <f>IF(#REF!,"AAAAAHyy3hE=",0)</f>
        <v>#REF!</v>
      </c>
      <c r="S16" t="e">
        <f>AND(#REF!,"AAAAAHyy3hI=")</f>
        <v>#REF!</v>
      </c>
      <c r="T16" t="e">
        <f>AND(#REF!,"AAAAAHyy3hM=")</f>
        <v>#REF!</v>
      </c>
      <c r="U16" t="e">
        <f>AND(#REF!,"AAAAAHyy3hQ=")</f>
        <v>#REF!</v>
      </c>
      <c r="V16" t="e">
        <f>AND(#REF!,"AAAAAHyy3hU=")</f>
        <v>#REF!</v>
      </c>
      <c r="W16" t="e">
        <f>AND(#REF!,"AAAAAHyy3hY=")</f>
        <v>#REF!</v>
      </c>
      <c r="X16" t="e">
        <f>AND(#REF!,"AAAAAHyy3hc=")</f>
        <v>#REF!</v>
      </c>
      <c r="Y16" t="e">
        <f>AND(#REF!,"AAAAAHyy3hg=")</f>
        <v>#REF!</v>
      </c>
      <c r="Z16" t="e">
        <f>AND(#REF!,"AAAAAHyy3hk=")</f>
        <v>#REF!</v>
      </c>
      <c r="AA16" t="e">
        <f>IF(#REF!,"AAAAAHyy3ho=",0)</f>
        <v>#REF!</v>
      </c>
      <c r="AB16" t="e">
        <f>AND(#REF!,"AAAAAHyy3hs=")</f>
        <v>#REF!</v>
      </c>
      <c r="AC16" t="e">
        <f>AND(#REF!,"AAAAAHyy3hw=")</f>
        <v>#REF!</v>
      </c>
      <c r="AD16" t="e">
        <f>AND(#REF!,"AAAAAHyy3h0=")</f>
        <v>#REF!</v>
      </c>
      <c r="AE16" t="e">
        <f>AND(#REF!,"AAAAAHyy3h4=")</f>
        <v>#REF!</v>
      </c>
      <c r="AF16" t="e">
        <f>AND(#REF!,"AAAAAHyy3h8=")</f>
        <v>#REF!</v>
      </c>
      <c r="AG16" t="e">
        <f>AND(#REF!,"AAAAAHyy3iA=")</f>
        <v>#REF!</v>
      </c>
      <c r="AH16" t="e">
        <f>AND(#REF!,"AAAAAHyy3iE=")</f>
        <v>#REF!</v>
      </c>
      <c r="AI16" t="e">
        <f>AND(#REF!,"AAAAAHyy3iI=")</f>
        <v>#REF!</v>
      </c>
      <c r="AJ16" t="e">
        <f>IF(#REF!,"AAAAAHyy3iM=",0)</f>
        <v>#REF!</v>
      </c>
      <c r="AK16" t="e">
        <f>AND(#REF!,"AAAAAHyy3iQ=")</f>
        <v>#REF!</v>
      </c>
      <c r="AL16" t="e">
        <f>AND(#REF!,"AAAAAHyy3iU=")</f>
        <v>#REF!</v>
      </c>
      <c r="AM16" t="e">
        <f>AND(#REF!,"AAAAAHyy3iY=")</f>
        <v>#REF!</v>
      </c>
      <c r="AN16" t="e">
        <f>AND(#REF!,"AAAAAHyy3ic=")</f>
        <v>#REF!</v>
      </c>
      <c r="AO16" t="e">
        <f>AND(#REF!,"AAAAAHyy3ig=")</f>
        <v>#REF!</v>
      </c>
      <c r="AP16" t="e">
        <f>AND(#REF!,"AAAAAHyy3ik=")</f>
        <v>#REF!</v>
      </c>
      <c r="AQ16" t="e">
        <f>AND(#REF!,"AAAAAHyy3io=")</f>
        <v>#REF!</v>
      </c>
      <c r="AR16" t="e">
        <f>AND(#REF!,"AAAAAHyy3is=")</f>
        <v>#REF!</v>
      </c>
      <c r="AS16" t="e">
        <f>IF(#REF!,"AAAAAHyy3iw=",0)</f>
        <v>#REF!</v>
      </c>
      <c r="AT16" t="e">
        <f>AND(#REF!,"AAAAAHyy3i0=")</f>
        <v>#REF!</v>
      </c>
      <c r="AU16" t="e">
        <f>AND(#REF!,"AAAAAHyy3i4=")</f>
        <v>#REF!</v>
      </c>
      <c r="AV16" t="e">
        <f>AND(#REF!,"AAAAAHyy3i8=")</f>
        <v>#REF!</v>
      </c>
      <c r="AW16" t="e">
        <f>AND(#REF!,"AAAAAHyy3jA=")</f>
        <v>#REF!</v>
      </c>
      <c r="AX16" t="e">
        <f>AND(#REF!,"AAAAAHyy3jE=")</f>
        <v>#REF!</v>
      </c>
      <c r="AY16" t="e">
        <f>AND(#REF!,"AAAAAHyy3jI=")</f>
        <v>#REF!</v>
      </c>
      <c r="AZ16" t="e">
        <f>AND(#REF!,"AAAAAHyy3jM=")</f>
        <v>#REF!</v>
      </c>
      <c r="BA16" t="e">
        <f>AND(#REF!,"AAAAAHyy3jQ=")</f>
        <v>#REF!</v>
      </c>
      <c r="BB16" t="e">
        <f>IF(#REF!,"AAAAAHyy3jU=",0)</f>
        <v>#REF!</v>
      </c>
      <c r="BC16" t="e">
        <f>AND(#REF!,"AAAAAHyy3jY=")</f>
        <v>#REF!</v>
      </c>
      <c r="BD16" t="e">
        <f>AND(#REF!,"AAAAAHyy3jc=")</f>
        <v>#REF!</v>
      </c>
      <c r="BE16" t="e">
        <f>AND(#REF!,"AAAAAHyy3jg=")</f>
        <v>#REF!</v>
      </c>
      <c r="BF16" t="e">
        <f>AND(#REF!,"AAAAAHyy3jk=")</f>
        <v>#REF!</v>
      </c>
      <c r="BG16" t="e">
        <f>AND(#REF!,"AAAAAHyy3jo=")</f>
        <v>#REF!</v>
      </c>
      <c r="BH16" t="e">
        <f>AND(#REF!,"AAAAAHyy3js=")</f>
        <v>#REF!</v>
      </c>
      <c r="BI16" t="e">
        <f>AND(#REF!,"AAAAAHyy3jw=")</f>
        <v>#REF!</v>
      </c>
      <c r="BJ16" t="e">
        <f>AND(#REF!,"AAAAAHyy3j0=")</f>
        <v>#REF!</v>
      </c>
      <c r="BK16" t="e">
        <f>IF(#REF!,"AAAAAHyy3j4=",0)</f>
        <v>#REF!</v>
      </c>
      <c r="BL16" t="e">
        <f>AND(#REF!,"AAAAAHyy3j8=")</f>
        <v>#REF!</v>
      </c>
      <c r="BM16" t="e">
        <f>AND(#REF!,"AAAAAHyy3kA=")</f>
        <v>#REF!</v>
      </c>
      <c r="BN16" t="e">
        <f>AND(#REF!,"AAAAAHyy3kE=")</f>
        <v>#REF!</v>
      </c>
      <c r="BO16" t="e">
        <f>AND(#REF!,"AAAAAHyy3kI=")</f>
        <v>#REF!</v>
      </c>
      <c r="BP16" t="e">
        <f>AND(#REF!,"AAAAAHyy3kM=")</f>
        <v>#REF!</v>
      </c>
      <c r="BQ16" t="e">
        <f>AND(#REF!,"AAAAAHyy3kQ=")</f>
        <v>#REF!</v>
      </c>
      <c r="BR16" t="e">
        <f>AND(#REF!,"AAAAAHyy3kU=")</f>
        <v>#REF!</v>
      </c>
      <c r="BS16" t="e">
        <f>AND(#REF!,"AAAAAHyy3kY=")</f>
        <v>#REF!</v>
      </c>
      <c r="BT16" t="e">
        <f>IF(#REF!,"AAAAAHyy3kc=",0)</f>
        <v>#REF!</v>
      </c>
      <c r="BU16" t="e">
        <f>AND(#REF!,"AAAAAHyy3kg=")</f>
        <v>#REF!</v>
      </c>
      <c r="BV16" t="e">
        <f>AND(#REF!,"AAAAAHyy3kk=")</f>
        <v>#REF!</v>
      </c>
      <c r="BW16" t="e">
        <f>AND(#REF!,"AAAAAHyy3ko=")</f>
        <v>#REF!</v>
      </c>
      <c r="BX16" t="e">
        <f>AND(#REF!,"AAAAAHyy3ks=")</f>
        <v>#REF!</v>
      </c>
      <c r="BY16" t="e">
        <f>AND(#REF!,"AAAAAHyy3kw=")</f>
        <v>#REF!</v>
      </c>
      <c r="BZ16" t="e">
        <f>AND(#REF!,"AAAAAHyy3k0=")</f>
        <v>#REF!</v>
      </c>
      <c r="CA16" t="e">
        <f>AND(#REF!,"AAAAAHyy3k4=")</f>
        <v>#REF!</v>
      </c>
      <c r="CB16" t="e">
        <f>AND(#REF!,"AAAAAHyy3k8=")</f>
        <v>#REF!</v>
      </c>
      <c r="CC16" t="e">
        <f>IF(#REF!,"AAAAAHyy3lA=",0)</f>
        <v>#REF!</v>
      </c>
      <c r="CD16" t="e">
        <f>AND(#REF!,"AAAAAHyy3lE=")</f>
        <v>#REF!</v>
      </c>
      <c r="CE16" t="e">
        <f>AND(#REF!,"AAAAAHyy3lI=")</f>
        <v>#REF!</v>
      </c>
      <c r="CF16" t="e">
        <f>AND(#REF!,"AAAAAHyy3lM=")</f>
        <v>#REF!</v>
      </c>
      <c r="CG16" t="e">
        <f>AND(#REF!,"AAAAAHyy3lQ=")</f>
        <v>#REF!</v>
      </c>
      <c r="CH16" t="e">
        <f>AND(#REF!,"AAAAAHyy3lU=")</f>
        <v>#REF!</v>
      </c>
      <c r="CI16" t="e">
        <f>AND(#REF!,"AAAAAHyy3lY=")</f>
        <v>#REF!</v>
      </c>
      <c r="CJ16" t="e">
        <f>AND(#REF!,"AAAAAHyy3lc=")</f>
        <v>#REF!</v>
      </c>
      <c r="CK16" t="e">
        <f>AND(#REF!,"AAAAAHyy3lg=")</f>
        <v>#REF!</v>
      </c>
      <c r="CL16" t="e">
        <f>IF(#REF!,"AAAAAHyy3lk=",0)</f>
        <v>#REF!</v>
      </c>
      <c r="CM16" t="e">
        <f>AND(#REF!,"AAAAAHyy3lo=")</f>
        <v>#REF!</v>
      </c>
      <c r="CN16" t="e">
        <f>AND(#REF!,"AAAAAHyy3ls=")</f>
        <v>#REF!</v>
      </c>
      <c r="CO16" t="e">
        <f>AND(#REF!,"AAAAAHyy3lw=")</f>
        <v>#REF!</v>
      </c>
      <c r="CP16" t="e">
        <f>AND(#REF!,"AAAAAHyy3l0=")</f>
        <v>#REF!</v>
      </c>
      <c r="CQ16" t="e">
        <f>AND(#REF!,"AAAAAHyy3l4=")</f>
        <v>#REF!</v>
      </c>
      <c r="CR16" t="e">
        <f>AND(#REF!,"AAAAAHyy3l8=")</f>
        <v>#REF!</v>
      </c>
      <c r="CS16" t="e">
        <f>AND(#REF!,"AAAAAHyy3mA=")</f>
        <v>#REF!</v>
      </c>
      <c r="CT16" t="e">
        <f>AND(#REF!,"AAAAAHyy3mE=")</f>
        <v>#REF!</v>
      </c>
      <c r="CU16" t="e">
        <f>IF(#REF!,"AAAAAHyy3mI=",0)</f>
        <v>#REF!</v>
      </c>
      <c r="CV16" t="e">
        <f>AND(#REF!,"AAAAAHyy3mM=")</f>
        <v>#REF!</v>
      </c>
      <c r="CW16" t="e">
        <f>AND(#REF!,"AAAAAHyy3mQ=")</f>
        <v>#REF!</v>
      </c>
      <c r="CX16" t="e">
        <f>AND(#REF!,"AAAAAHyy3mU=")</f>
        <v>#REF!</v>
      </c>
      <c r="CY16" t="e">
        <f>AND(#REF!,"AAAAAHyy3mY=")</f>
        <v>#REF!</v>
      </c>
      <c r="CZ16" t="e">
        <f>AND(#REF!,"AAAAAHyy3mc=")</f>
        <v>#REF!</v>
      </c>
      <c r="DA16" t="e">
        <f>AND(#REF!,"AAAAAHyy3mg=")</f>
        <v>#REF!</v>
      </c>
      <c r="DB16" t="e">
        <f>AND(#REF!,"AAAAAHyy3mk=")</f>
        <v>#REF!</v>
      </c>
      <c r="DC16" t="e">
        <f>AND(#REF!,"AAAAAHyy3mo=")</f>
        <v>#REF!</v>
      </c>
      <c r="DD16" t="e">
        <f>IF(#REF!,"AAAAAHyy3ms=",0)</f>
        <v>#REF!</v>
      </c>
      <c r="DE16" t="e">
        <f>AND(#REF!,"AAAAAHyy3mw=")</f>
        <v>#REF!</v>
      </c>
      <c r="DF16" t="e">
        <f>AND(#REF!,"AAAAAHyy3m0=")</f>
        <v>#REF!</v>
      </c>
      <c r="DG16" t="e">
        <f>AND(#REF!,"AAAAAHyy3m4=")</f>
        <v>#REF!</v>
      </c>
      <c r="DH16" t="e">
        <f>AND(#REF!,"AAAAAHyy3m8=")</f>
        <v>#REF!</v>
      </c>
      <c r="DI16" t="e">
        <f>AND(#REF!,"AAAAAHyy3nA=")</f>
        <v>#REF!</v>
      </c>
      <c r="DJ16" t="e">
        <f>AND(#REF!,"AAAAAHyy3nE=")</f>
        <v>#REF!</v>
      </c>
      <c r="DK16" t="e">
        <f>AND(#REF!,"AAAAAHyy3nI=")</f>
        <v>#REF!</v>
      </c>
      <c r="DL16" t="e">
        <f>AND(#REF!,"AAAAAHyy3nM=")</f>
        <v>#REF!</v>
      </c>
      <c r="DM16" t="e">
        <f>IF(#REF!,"AAAAAHyy3nQ=",0)</f>
        <v>#REF!</v>
      </c>
      <c r="DN16" t="e">
        <f>AND(#REF!,"AAAAAHyy3nU=")</f>
        <v>#REF!</v>
      </c>
      <c r="DO16" t="e">
        <f>AND(#REF!,"AAAAAHyy3nY=")</f>
        <v>#REF!</v>
      </c>
      <c r="DP16" t="e">
        <f>AND(#REF!,"AAAAAHyy3nc=")</f>
        <v>#REF!</v>
      </c>
      <c r="DQ16" t="e">
        <f>AND(#REF!,"AAAAAHyy3ng=")</f>
        <v>#REF!</v>
      </c>
      <c r="DR16" t="e">
        <f>AND(#REF!,"AAAAAHyy3nk=")</f>
        <v>#REF!</v>
      </c>
      <c r="DS16" t="e">
        <f>AND(#REF!,"AAAAAHyy3no=")</f>
        <v>#REF!</v>
      </c>
      <c r="DT16" t="e">
        <f>AND(#REF!,"AAAAAHyy3ns=")</f>
        <v>#REF!</v>
      </c>
      <c r="DU16" t="e">
        <f>AND(#REF!,"AAAAAHyy3nw=")</f>
        <v>#REF!</v>
      </c>
      <c r="DV16" t="e">
        <f>IF(#REF!,"AAAAAHyy3n0=",0)</f>
        <v>#REF!</v>
      </c>
      <c r="DW16" t="e">
        <f>AND(#REF!,"AAAAAHyy3n4=")</f>
        <v>#REF!</v>
      </c>
      <c r="DX16" t="e">
        <f>AND(#REF!,"AAAAAHyy3n8=")</f>
        <v>#REF!</v>
      </c>
      <c r="DY16" t="e">
        <f>AND(#REF!,"AAAAAHyy3oA=")</f>
        <v>#REF!</v>
      </c>
      <c r="DZ16" t="e">
        <f>AND(#REF!,"AAAAAHyy3oE=")</f>
        <v>#REF!</v>
      </c>
      <c r="EA16" t="e">
        <f>AND(#REF!,"AAAAAHyy3oI=")</f>
        <v>#REF!</v>
      </c>
      <c r="EB16" t="e">
        <f>AND(#REF!,"AAAAAHyy3oM=")</f>
        <v>#REF!</v>
      </c>
      <c r="EC16" t="e">
        <f>AND(#REF!,"AAAAAHyy3oQ=")</f>
        <v>#REF!</v>
      </c>
      <c r="ED16" t="e">
        <f>AND(#REF!,"AAAAAHyy3oU=")</f>
        <v>#REF!</v>
      </c>
      <c r="EE16" t="e">
        <f>IF(#REF!,"AAAAAHyy3oY=",0)</f>
        <v>#REF!</v>
      </c>
      <c r="EF16" t="e">
        <f>AND(#REF!,"AAAAAHyy3oc=")</f>
        <v>#REF!</v>
      </c>
      <c r="EG16" t="e">
        <f>AND(#REF!,"AAAAAHyy3og=")</f>
        <v>#REF!</v>
      </c>
      <c r="EH16" t="e">
        <f>AND(#REF!,"AAAAAHyy3ok=")</f>
        <v>#REF!</v>
      </c>
      <c r="EI16" t="e">
        <f>AND(#REF!,"AAAAAHyy3oo=")</f>
        <v>#REF!</v>
      </c>
      <c r="EJ16" t="e">
        <f>AND(#REF!,"AAAAAHyy3os=")</f>
        <v>#REF!</v>
      </c>
      <c r="EK16" t="e">
        <f>AND(#REF!,"AAAAAHyy3ow=")</f>
        <v>#REF!</v>
      </c>
      <c r="EL16" t="e">
        <f>AND(#REF!,"AAAAAHyy3o0=")</f>
        <v>#REF!</v>
      </c>
      <c r="EM16" t="e">
        <f>AND(#REF!,"AAAAAHyy3o4=")</f>
        <v>#REF!</v>
      </c>
      <c r="EN16" t="e">
        <f>IF(#REF!,"AAAAAHyy3o8=",0)</f>
        <v>#REF!</v>
      </c>
      <c r="EO16" t="e">
        <f>AND(#REF!,"AAAAAHyy3pA=")</f>
        <v>#REF!</v>
      </c>
      <c r="EP16" t="e">
        <f>AND(#REF!,"AAAAAHyy3pE=")</f>
        <v>#REF!</v>
      </c>
      <c r="EQ16" t="e">
        <f>AND(#REF!,"AAAAAHyy3pI=")</f>
        <v>#REF!</v>
      </c>
      <c r="ER16" t="e">
        <f>AND(#REF!,"AAAAAHyy3pM=")</f>
        <v>#REF!</v>
      </c>
      <c r="ES16" t="e">
        <f>AND(#REF!,"AAAAAHyy3pQ=")</f>
        <v>#REF!</v>
      </c>
      <c r="ET16" t="e">
        <f>AND(#REF!,"AAAAAHyy3pU=")</f>
        <v>#REF!</v>
      </c>
      <c r="EU16" t="e">
        <f>AND(#REF!,"AAAAAHyy3pY=")</f>
        <v>#REF!</v>
      </c>
      <c r="EV16" t="e">
        <f>AND(#REF!,"AAAAAHyy3pc=")</f>
        <v>#REF!</v>
      </c>
      <c r="EW16" t="e">
        <f>IF(#REF!,"AAAAAHyy3pg=",0)</f>
        <v>#REF!</v>
      </c>
      <c r="EX16" t="e">
        <f>AND(#REF!,"AAAAAHyy3pk=")</f>
        <v>#REF!</v>
      </c>
      <c r="EY16" t="e">
        <f>AND(#REF!,"AAAAAHyy3po=")</f>
        <v>#REF!</v>
      </c>
      <c r="EZ16" t="e">
        <f>AND(#REF!,"AAAAAHyy3ps=")</f>
        <v>#REF!</v>
      </c>
      <c r="FA16" t="e">
        <f>AND(#REF!,"AAAAAHyy3pw=")</f>
        <v>#REF!</v>
      </c>
      <c r="FB16" t="e">
        <f>AND(#REF!,"AAAAAHyy3p0=")</f>
        <v>#REF!</v>
      </c>
      <c r="FC16" t="e">
        <f>AND(#REF!,"AAAAAHyy3p4=")</f>
        <v>#REF!</v>
      </c>
      <c r="FD16" t="e">
        <f>AND(#REF!,"AAAAAHyy3p8=")</f>
        <v>#REF!</v>
      </c>
      <c r="FE16" t="e">
        <f>AND(#REF!,"AAAAAHyy3qA=")</f>
        <v>#REF!</v>
      </c>
      <c r="FF16" t="e">
        <f>IF(#REF!,"AAAAAHyy3qE=",0)</f>
        <v>#REF!</v>
      </c>
      <c r="FG16" t="e">
        <f>AND(#REF!,"AAAAAHyy3qI=")</f>
        <v>#REF!</v>
      </c>
      <c r="FH16" t="e">
        <f>AND(#REF!,"AAAAAHyy3qM=")</f>
        <v>#REF!</v>
      </c>
      <c r="FI16" t="e">
        <f>AND(#REF!,"AAAAAHyy3qQ=")</f>
        <v>#REF!</v>
      </c>
      <c r="FJ16" t="e">
        <f>AND(#REF!,"AAAAAHyy3qU=")</f>
        <v>#REF!</v>
      </c>
      <c r="FK16" t="e">
        <f>AND(#REF!,"AAAAAHyy3qY=")</f>
        <v>#REF!</v>
      </c>
      <c r="FL16" t="e">
        <f>AND(#REF!,"AAAAAHyy3qc=")</f>
        <v>#REF!</v>
      </c>
      <c r="FM16" t="e">
        <f>AND(#REF!,"AAAAAHyy3qg=")</f>
        <v>#REF!</v>
      </c>
      <c r="FN16" t="e">
        <f>AND(#REF!,"AAAAAHyy3qk=")</f>
        <v>#REF!</v>
      </c>
      <c r="FO16" t="e">
        <f>IF(#REF!,"AAAAAHyy3qo=",0)</f>
        <v>#REF!</v>
      </c>
      <c r="FP16" t="e">
        <f>AND(#REF!,"AAAAAHyy3qs=")</f>
        <v>#REF!</v>
      </c>
      <c r="FQ16" t="e">
        <f>AND(#REF!,"AAAAAHyy3qw=")</f>
        <v>#REF!</v>
      </c>
      <c r="FR16" t="e">
        <f>AND(#REF!,"AAAAAHyy3q0=")</f>
        <v>#REF!</v>
      </c>
      <c r="FS16" t="e">
        <f>AND(#REF!,"AAAAAHyy3q4=")</f>
        <v>#REF!</v>
      </c>
      <c r="FT16" t="e">
        <f>AND(#REF!,"AAAAAHyy3q8=")</f>
        <v>#REF!</v>
      </c>
      <c r="FU16" t="e">
        <f>AND(#REF!,"AAAAAHyy3rA=")</f>
        <v>#REF!</v>
      </c>
      <c r="FV16" t="e">
        <f>AND(#REF!,"AAAAAHyy3rE=")</f>
        <v>#REF!</v>
      </c>
      <c r="FW16" t="e">
        <f>AND(#REF!,"AAAAAHyy3rI=")</f>
        <v>#REF!</v>
      </c>
      <c r="FX16" t="e">
        <f>IF(#REF!,"AAAAAHyy3rM=",0)</f>
        <v>#REF!</v>
      </c>
      <c r="FY16" t="e">
        <f>AND(#REF!,"AAAAAHyy3rQ=")</f>
        <v>#REF!</v>
      </c>
      <c r="FZ16" t="e">
        <f>AND(#REF!,"AAAAAHyy3rU=")</f>
        <v>#REF!</v>
      </c>
      <c r="GA16" t="e">
        <f>AND(#REF!,"AAAAAHyy3rY=")</f>
        <v>#REF!</v>
      </c>
      <c r="GB16" t="e">
        <f>AND(#REF!,"AAAAAHyy3rc=")</f>
        <v>#REF!</v>
      </c>
      <c r="GC16" t="e">
        <f>AND(#REF!,"AAAAAHyy3rg=")</f>
        <v>#REF!</v>
      </c>
      <c r="GD16" t="e">
        <f>AND(#REF!,"AAAAAHyy3rk=")</f>
        <v>#REF!</v>
      </c>
      <c r="GE16" t="e">
        <f>AND(#REF!,"AAAAAHyy3ro=")</f>
        <v>#REF!</v>
      </c>
      <c r="GF16" t="e">
        <f>AND(#REF!,"AAAAAHyy3rs=")</f>
        <v>#REF!</v>
      </c>
      <c r="GG16" t="e">
        <f>IF(#REF!,"AAAAAHyy3rw=",0)</f>
        <v>#REF!</v>
      </c>
      <c r="GH16" t="e">
        <f>AND(#REF!,"AAAAAHyy3r0=")</f>
        <v>#REF!</v>
      </c>
      <c r="GI16" t="e">
        <f>AND(#REF!,"AAAAAHyy3r4=")</f>
        <v>#REF!</v>
      </c>
      <c r="GJ16" t="e">
        <f>AND(#REF!,"AAAAAHyy3r8=")</f>
        <v>#REF!</v>
      </c>
      <c r="GK16" t="e">
        <f>AND(#REF!,"AAAAAHyy3sA=")</f>
        <v>#REF!</v>
      </c>
      <c r="GL16" t="e">
        <f>AND(#REF!,"AAAAAHyy3sE=")</f>
        <v>#REF!</v>
      </c>
      <c r="GM16" t="e">
        <f>AND(#REF!,"AAAAAHyy3sI=")</f>
        <v>#REF!</v>
      </c>
      <c r="GN16" t="e">
        <f>AND(#REF!,"AAAAAHyy3sM=")</f>
        <v>#REF!</v>
      </c>
      <c r="GO16" t="e">
        <f>AND(#REF!,"AAAAAHyy3sQ=")</f>
        <v>#REF!</v>
      </c>
      <c r="GP16" t="e">
        <f>IF(#REF!,"AAAAAHyy3sU=",0)</f>
        <v>#REF!</v>
      </c>
      <c r="GQ16" t="e">
        <f>AND(#REF!,"AAAAAHyy3sY=")</f>
        <v>#REF!</v>
      </c>
      <c r="GR16" t="e">
        <f>AND(#REF!,"AAAAAHyy3sc=")</f>
        <v>#REF!</v>
      </c>
      <c r="GS16" t="e">
        <f>AND(#REF!,"AAAAAHyy3sg=")</f>
        <v>#REF!</v>
      </c>
      <c r="GT16" t="e">
        <f>AND(#REF!,"AAAAAHyy3sk=")</f>
        <v>#REF!</v>
      </c>
      <c r="GU16" t="e">
        <f>AND(#REF!,"AAAAAHyy3so=")</f>
        <v>#REF!</v>
      </c>
      <c r="GV16" t="e">
        <f>AND(#REF!,"AAAAAHyy3ss=")</f>
        <v>#REF!</v>
      </c>
      <c r="GW16" t="e">
        <f>AND(#REF!,"AAAAAHyy3sw=")</f>
        <v>#REF!</v>
      </c>
      <c r="GX16" t="e">
        <f>AND(#REF!,"AAAAAHyy3s0=")</f>
        <v>#REF!</v>
      </c>
      <c r="GY16" t="e">
        <f>IF(#REF!,"AAAAAHyy3s4=",0)</f>
        <v>#REF!</v>
      </c>
      <c r="GZ16" t="e">
        <f>IF(#REF!,"AAAAAHyy3s8=",0)</f>
        <v>#REF!</v>
      </c>
      <c r="HA16" t="e">
        <f>IF(#REF!,"AAAAAHyy3tA=",0)</f>
        <v>#REF!</v>
      </c>
      <c r="HB16" t="e">
        <f>IF(#REF!,"AAAAAHyy3tE=",0)</f>
        <v>#REF!</v>
      </c>
      <c r="HC16" t="e">
        <f>IF(#REF!,"AAAAAHyy3tI=",0)</f>
        <v>#REF!</v>
      </c>
      <c r="HD16" t="e">
        <f>IF(#REF!,"AAAAAHyy3tM=",0)</f>
        <v>#REF!</v>
      </c>
      <c r="HE16" t="e">
        <f>IF(#REF!,"AAAAAHyy3tQ=",0)</f>
        <v>#REF!</v>
      </c>
      <c r="HF16" t="e">
        <f>IF(#REF!,"AAAAAHyy3tU=",0)</f>
        <v>#REF!</v>
      </c>
      <c r="HG16" t="e">
        <f>IF(#REF!,"AAAAAHyy3tY=",0)</f>
        <v>#REF!</v>
      </c>
      <c r="HH16" t="e">
        <f>IF(#REF!,"AAAAAHyy3tc=",0)</f>
        <v>#REF!</v>
      </c>
      <c r="HI16" t="e">
        <f>AND(#REF!,"AAAAAHyy3tg=")</f>
        <v>#REF!</v>
      </c>
      <c r="HJ16" t="e">
        <f>AND(#REF!,"AAAAAHyy3tk=")</f>
        <v>#REF!</v>
      </c>
      <c r="HK16" t="e">
        <f>AND(#REF!,"AAAAAHyy3to=")</f>
        <v>#REF!</v>
      </c>
      <c r="HL16" t="e">
        <f>AND(#REF!,"AAAAAHyy3ts=")</f>
        <v>#REF!</v>
      </c>
      <c r="HM16" t="e">
        <f>AND(#REF!,"AAAAAHyy3tw=")</f>
        <v>#REF!</v>
      </c>
      <c r="HN16" t="e">
        <f>AND(#REF!,"AAAAAHyy3t0=")</f>
        <v>#REF!</v>
      </c>
      <c r="HO16" t="e">
        <f>AND(#REF!,"AAAAAHyy3t4=")</f>
        <v>#REF!</v>
      </c>
      <c r="HP16" t="e">
        <f>AND(#REF!,"AAAAAHyy3t8=")</f>
        <v>#REF!</v>
      </c>
      <c r="HQ16" t="e">
        <f>AND(#REF!,"AAAAAHyy3uA=")</f>
        <v>#REF!</v>
      </c>
      <c r="HR16" t="e">
        <f>AND(#REF!,"AAAAAHyy3uE=")</f>
        <v>#REF!</v>
      </c>
      <c r="HS16" t="e">
        <f>AND(#REF!,"AAAAAHyy3uI=")</f>
        <v>#REF!</v>
      </c>
      <c r="HT16" t="e">
        <f>IF(#REF!,"AAAAAHyy3uM=",0)</f>
        <v>#REF!</v>
      </c>
      <c r="HU16" t="e">
        <f>AND(#REF!,"AAAAAHyy3uQ=")</f>
        <v>#REF!</v>
      </c>
      <c r="HV16" t="e">
        <f>AND(#REF!,"AAAAAHyy3uU=")</f>
        <v>#REF!</v>
      </c>
      <c r="HW16" t="e">
        <f>AND(#REF!,"AAAAAHyy3uY=")</f>
        <v>#REF!</v>
      </c>
      <c r="HX16" t="e">
        <f>AND(#REF!,"AAAAAHyy3uc=")</f>
        <v>#REF!</v>
      </c>
      <c r="HY16" t="e">
        <f>AND(#REF!,"AAAAAHyy3ug=")</f>
        <v>#REF!</v>
      </c>
      <c r="HZ16" t="e">
        <f>AND(#REF!,"AAAAAHyy3uk=")</f>
        <v>#REF!</v>
      </c>
      <c r="IA16" t="e">
        <f>AND(#REF!,"AAAAAHyy3uo=")</f>
        <v>#REF!</v>
      </c>
      <c r="IB16" t="e">
        <f>AND(#REF!,"AAAAAHyy3us=")</f>
        <v>#REF!</v>
      </c>
      <c r="IC16" t="e">
        <f>AND(#REF!,"AAAAAHyy3uw=")</f>
        <v>#REF!</v>
      </c>
      <c r="ID16" t="e">
        <f>AND(#REF!,"AAAAAHyy3u0=")</f>
        <v>#REF!</v>
      </c>
      <c r="IE16" t="e">
        <f>AND(#REF!,"AAAAAHyy3u4=")</f>
        <v>#REF!</v>
      </c>
      <c r="IF16" t="e">
        <f>IF(#REF!,"AAAAAHyy3u8=",0)</f>
        <v>#REF!</v>
      </c>
      <c r="IG16" t="e">
        <f>AND(#REF!,"AAAAAHyy3vA=")</f>
        <v>#REF!</v>
      </c>
      <c r="IH16" t="e">
        <f>AND(#REF!,"AAAAAHyy3vE=")</f>
        <v>#REF!</v>
      </c>
      <c r="II16" t="e">
        <f>AND(#REF!,"AAAAAHyy3vI=")</f>
        <v>#REF!</v>
      </c>
      <c r="IJ16" t="e">
        <f>AND(#REF!,"AAAAAHyy3vM=")</f>
        <v>#REF!</v>
      </c>
      <c r="IK16" t="e">
        <f>AND(#REF!,"AAAAAHyy3vQ=")</f>
        <v>#REF!</v>
      </c>
      <c r="IL16" t="e">
        <f>AND(#REF!,"AAAAAHyy3vU=")</f>
        <v>#REF!</v>
      </c>
      <c r="IM16" t="e">
        <f>AND(#REF!,"AAAAAHyy3vY=")</f>
        <v>#REF!</v>
      </c>
      <c r="IN16" t="e">
        <f>AND(#REF!,"AAAAAHyy3vc=")</f>
        <v>#REF!</v>
      </c>
      <c r="IO16" t="e">
        <f>AND(#REF!,"AAAAAHyy3vg=")</f>
        <v>#REF!</v>
      </c>
      <c r="IP16" t="e">
        <f>AND(#REF!,"AAAAAHyy3vk=")</f>
        <v>#REF!</v>
      </c>
      <c r="IQ16" t="e">
        <f>AND(#REF!,"AAAAAHyy3vo=")</f>
        <v>#REF!</v>
      </c>
      <c r="IR16" t="e">
        <f>IF(#REF!,"AAAAAHyy3vs=",0)</f>
        <v>#REF!</v>
      </c>
      <c r="IS16" t="e">
        <f>AND(#REF!,"AAAAAHyy3vw=")</f>
        <v>#REF!</v>
      </c>
      <c r="IT16" t="e">
        <f>AND(#REF!,"AAAAAHyy3v0=")</f>
        <v>#REF!</v>
      </c>
      <c r="IU16" t="e">
        <f>AND(#REF!,"AAAAAHyy3v4=")</f>
        <v>#REF!</v>
      </c>
      <c r="IV16" t="e">
        <f>AND(#REF!,"AAAAAHyy3v8=")</f>
        <v>#REF!</v>
      </c>
    </row>
    <row r="17" spans="1:256" x14ac:dyDescent="0.2">
      <c r="A17" t="e">
        <f>AND(#REF!,"AAAAAH8/OwA=")</f>
        <v>#REF!</v>
      </c>
      <c r="B17" t="e">
        <f>AND(#REF!,"AAAAAH8/OwE=")</f>
        <v>#REF!</v>
      </c>
      <c r="C17" t="e">
        <f>AND(#REF!,"AAAAAH8/OwI=")</f>
        <v>#REF!</v>
      </c>
      <c r="D17" t="e">
        <f>AND(#REF!,"AAAAAH8/OwM=")</f>
        <v>#REF!</v>
      </c>
      <c r="E17" t="e">
        <f>AND(#REF!,"AAAAAH8/OwQ=")</f>
        <v>#REF!</v>
      </c>
      <c r="F17" t="e">
        <f>AND(#REF!,"AAAAAH8/OwU=")</f>
        <v>#REF!</v>
      </c>
      <c r="G17" t="e">
        <f>AND(#REF!,"AAAAAH8/OwY=")</f>
        <v>#REF!</v>
      </c>
      <c r="H17" t="e">
        <f>IF(#REF!,"AAAAAH8/Owc=",0)</f>
        <v>#REF!</v>
      </c>
      <c r="I17" t="e">
        <f>AND(#REF!,"AAAAAH8/Owg=")</f>
        <v>#REF!</v>
      </c>
      <c r="J17" t="e">
        <f>AND(#REF!,"AAAAAH8/Owk=")</f>
        <v>#REF!</v>
      </c>
      <c r="K17" t="e">
        <f>AND(#REF!,"AAAAAH8/Owo=")</f>
        <v>#REF!</v>
      </c>
      <c r="L17" t="e">
        <f>AND(#REF!,"AAAAAH8/Ows=")</f>
        <v>#REF!</v>
      </c>
      <c r="M17" t="e">
        <f>AND(#REF!,"AAAAAH8/Oww=")</f>
        <v>#REF!</v>
      </c>
      <c r="N17" t="e">
        <f>AND(#REF!,"AAAAAH8/Ow0=")</f>
        <v>#REF!</v>
      </c>
      <c r="O17" t="e">
        <f>AND(#REF!,"AAAAAH8/Ow4=")</f>
        <v>#REF!</v>
      </c>
      <c r="P17" t="e">
        <f>AND(#REF!,"AAAAAH8/Ow8=")</f>
        <v>#REF!</v>
      </c>
      <c r="Q17" t="e">
        <f>AND(#REF!,"AAAAAH8/OxA=")</f>
        <v>#REF!</v>
      </c>
      <c r="R17" t="e">
        <f>AND(#REF!,"AAAAAH8/OxE=")</f>
        <v>#REF!</v>
      </c>
      <c r="S17" t="e">
        <f>AND(#REF!,"AAAAAH8/OxI=")</f>
        <v>#REF!</v>
      </c>
      <c r="T17" t="e">
        <f>IF(#REF!,"AAAAAH8/OxM=",0)</f>
        <v>#REF!</v>
      </c>
      <c r="U17" t="e">
        <f>AND(#REF!,"AAAAAH8/OxQ=")</f>
        <v>#REF!</v>
      </c>
      <c r="V17" t="e">
        <f>AND(#REF!,"AAAAAH8/OxU=")</f>
        <v>#REF!</v>
      </c>
      <c r="W17" t="e">
        <f>AND(#REF!,"AAAAAH8/OxY=")</f>
        <v>#REF!</v>
      </c>
      <c r="X17" t="e">
        <f>AND(#REF!,"AAAAAH8/Oxc=")</f>
        <v>#REF!</v>
      </c>
      <c r="Y17" t="e">
        <f>AND(#REF!,"AAAAAH8/Oxg=")</f>
        <v>#REF!</v>
      </c>
      <c r="Z17" t="e">
        <f>AND(#REF!,"AAAAAH8/Oxk=")</f>
        <v>#REF!</v>
      </c>
      <c r="AA17" t="e">
        <f>AND(#REF!,"AAAAAH8/Oxo=")</f>
        <v>#REF!</v>
      </c>
      <c r="AB17" t="e">
        <f>AND(#REF!,"AAAAAH8/Oxs=")</f>
        <v>#REF!</v>
      </c>
      <c r="AC17" t="e">
        <f>AND(#REF!,"AAAAAH8/Oxw=")</f>
        <v>#REF!</v>
      </c>
      <c r="AD17" t="e">
        <f>AND(#REF!,"AAAAAH8/Ox0=")</f>
        <v>#REF!</v>
      </c>
      <c r="AE17" t="e">
        <f>AND(#REF!,"AAAAAH8/Ox4=")</f>
        <v>#REF!</v>
      </c>
      <c r="AF17" t="e">
        <f>IF(#REF!,"AAAAAH8/Ox8=",0)</f>
        <v>#REF!</v>
      </c>
      <c r="AG17" t="e">
        <f>AND(#REF!,"AAAAAH8/OyA=")</f>
        <v>#REF!</v>
      </c>
      <c r="AH17" t="e">
        <f>AND(#REF!,"AAAAAH8/OyE=")</f>
        <v>#REF!</v>
      </c>
      <c r="AI17" t="e">
        <f>AND(#REF!,"AAAAAH8/OyI=")</f>
        <v>#REF!</v>
      </c>
      <c r="AJ17" t="e">
        <f>AND(#REF!,"AAAAAH8/OyM=")</f>
        <v>#REF!</v>
      </c>
      <c r="AK17" t="e">
        <f>AND(#REF!,"AAAAAH8/OyQ=")</f>
        <v>#REF!</v>
      </c>
      <c r="AL17" t="e">
        <f>AND(#REF!,"AAAAAH8/OyU=")</f>
        <v>#REF!</v>
      </c>
      <c r="AM17" t="e">
        <f>AND(#REF!,"AAAAAH8/OyY=")</f>
        <v>#REF!</v>
      </c>
      <c r="AN17" t="e">
        <f>AND(#REF!,"AAAAAH8/Oyc=")</f>
        <v>#REF!</v>
      </c>
      <c r="AO17" t="e">
        <f>AND(#REF!,"AAAAAH8/Oyg=")</f>
        <v>#REF!</v>
      </c>
      <c r="AP17" t="e">
        <f>AND(#REF!,"AAAAAH8/Oyk=")</f>
        <v>#REF!</v>
      </c>
      <c r="AQ17" t="e">
        <f>AND(#REF!,"AAAAAH8/Oyo=")</f>
        <v>#REF!</v>
      </c>
      <c r="AR17" t="e">
        <f>IF(#REF!,"AAAAAH8/Oys=",0)</f>
        <v>#REF!</v>
      </c>
      <c r="AS17" t="e">
        <f>AND(#REF!,"AAAAAH8/Oyw=")</f>
        <v>#REF!</v>
      </c>
      <c r="AT17" t="e">
        <f>AND(#REF!,"AAAAAH8/Oy0=")</f>
        <v>#REF!</v>
      </c>
      <c r="AU17" t="e">
        <f>AND(#REF!,"AAAAAH8/Oy4=")</f>
        <v>#REF!</v>
      </c>
      <c r="AV17" t="e">
        <f>AND(#REF!,"AAAAAH8/Oy8=")</f>
        <v>#REF!</v>
      </c>
      <c r="AW17" t="e">
        <f>AND(#REF!,"AAAAAH8/OzA=")</f>
        <v>#REF!</v>
      </c>
      <c r="AX17" t="e">
        <f>AND(#REF!,"AAAAAH8/OzE=")</f>
        <v>#REF!</v>
      </c>
      <c r="AY17" t="e">
        <f>AND(#REF!,"AAAAAH8/OzI=")</f>
        <v>#REF!</v>
      </c>
      <c r="AZ17" t="e">
        <f>AND(#REF!,"AAAAAH8/OzM=")</f>
        <v>#REF!</v>
      </c>
      <c r="BA17" t="e">
        <f>AND(#REF!,"AAAAAH8/OzQ=")</f>
        <v>#REF!</v>
      </c>
      <c r="BB17" t="e">
        <f>AND(#REF!,"AAAAAH8/OzU=")</f>
        <v>#REF!</v>
      </c>
      <c r="BC17" t="e">
        <f>AND(#REF!,"AAAAAH8/OzY=")</f>
        <v>#REF!</v>
      </c>
      <c r="BD17" t="e">
        <f>IF(#REF!,"AAAAAH8/Ozc=",0)</f>
        <v>#REF!</v>
      </c>
      <c r="BE17" t="e">
        <f>AND(#REF!,"AAAAAH8/Ozg=")</f>
        <v>#REF!</v>
      </c>
      <c r="BF17" t="e">
        <f>AND(#REF!,"AAAAAH8/Ozk=")</f>
        <v>#REF!</v>
      </c>
      <c r="BG17" t="e">
        <f>AND(#REF!,"AAAAAH8/Ozo=")</f>
        <v>#REF!</v>
      </c>
      <c r="BH17" t="e">
        <f>AND(#REF!,"AAAAAH8/Ozs=")</f>
        <v>#REF!</v>
      </c>
      <c r="BI17" t="e">
        <f>AND(#REF!,"AAAAAH8/Ozw=")</f>
        <v>#REF!</v>
      </c>
      <c r="BJ17" t="e">
        <f>AND(#REF!,"AAAAAH8/Oz0=")</f>
        <v>#REF!</v>
      </c>
      <c r="BK17" t="e">
        <f>AND(#REF!,"AAAAAH8/Oz4=")</f>
        <v>#REF!</v>
      </c>
      <c r="BL17" t="e">
        <f>AND(#REF!,"AAAAAH8/Oz8=")</f>
        <v>#REF!</v>
      </c>
      <c r="BM17" t="e">
        <f>AND(#REF!,"AAAAAH8/O0A=")</f>
        <v>#REF!</v>
      </c>
      <c r="BN17" t="e">
        <f>AND(#REF!,"AAAAAH8/O0E=")</f>
        <v>#REF!</v>
      </c>
      <c r="BO17" t="e">
        <f>AND(#REF!,"AAAAAH8/O0I=")</f>
        <v>#REF!</v>
      </c>
      <c r="BP17" t="e">
        <f>IF(#REF!,"AAAAAH8/O0M=",0)</f>
        <v>#REF!</v>
      </c>
      <c r="BQ17" t="e">
        <f>AND(#REF!,"AAAAAH8/O0Q=")</f>
        <v>#REF!</v>
      </c>
      <c r="BR17" t="e">
        <f>AND(#REF!,"AAAAAH8/O0U=")</f>
        <v>#REF!</v>
      </c>
      <c r="BS17" t="e">
        <f>AND(#REF!,"AAAAAH8/O0Y=")</f>
        <v>#REF!</v>
      </c>
      <c r="BT17" t="e">
        <f>AND(#REF!,"AAAAAH8/O0c=")</f>
        <v>#REF!</v>
      </c>
      <c r="BU17" t="e">
        <f>AND(#REF!,"AAAAAH8/O0g=")</f>
        <v>#REF!</v>
      </c>
      <c r="BV17" t="e">
        <f>AND(#REF!,"AAAAAH8/O0k=")</f>
        <v>#REF!</v>
      </c>
      <c r="BW17" t="e">
        <f>AND(#REF!,"AAAAAH8/O0o=")</f>
        <v>#REF!</v>
      </c>
      <c r="BX17" t="e">
        <f>AND(#REF!,"AAAAAH8/O0s=")</f>
        <v>#REF!</v>
      </c>
      <c r="BY17" t="e">
        <f>AND(#REF!,"AAAAAH8/O0w=")</f>
        <v>#REF!</v>
      </c>
      <c r="BZ17" t="e">
        <f>AND(#REF!,"AAAAAH8/O00=")</f>
        <v>#REF!</v>
      </c>
      <c r="CA17" t="e">
        <f>AND(#REF!,"AAAAAH8/O04=")</f>
        <v>#REF!</v>
      </c>
      <c r="CB17" t="e">
        <f>IF(#REF!,"AAAAAH8/O08=",0)</f>
        <v>#REF!</v>
      </c>
      <c r="CC17" t="e">
        <f>AND(#REF!,"AAAAAH8/O1A=")</f>
        <v>#REF!</v>
      </c>
      <c r="CD17" t="e">
        <f>AND(#REF!,"AAAAAH8/O1E=")</f>
        <v>#REF!</v>
      </c>
      <c r="CE17" t="e">
        <f>AND(#REF!,"AAAAAH8/O1I=")</f>
        <v>#REF!</v>
      </c>
      <c r="CF17" t="e">
        <f>AND(#REF!,"AAAAAH8/O1M=")</f>
        <v>#REF!</v>
      </c>
      <c r="CG17" t="e">
        <f>AND(#REF!,"AAAAAH8/O1Q=")</f>
        <v>#REF!</v>
      </c>
      <c r="CH17" t="e">
        <f>AND(#REF!,"AAAAAH8/O1U=")</f>
        <v>#REF!</v>
      </c>
      <c r="CI17" t="e">
        <f>AND(#REF!,"AAAAAH8/O1Y=")</f>
        <v>#REF!</v>
      </c>
      <c r="CJ17" t="e">
        <f>AND(#REF!,"AAAAAH8/O1c=")</f>
        <v>#REF!</v>
      </c>
      <c r="CK17" t="e">
        <f>AND(#REF!,"AAAAAH8/O1g=")</f>
        <v>#REF!</v>
      </c>
      <c r="CL17" t="e">
        <f>AND(#REF!,"AAAAAH8/O1k=")</f>
        <v>#REF!</v>
      </c>
      <c r="CM17" t="e">
        <f>AND(#REF!,"AAAAAH8/O1o=")</f>
        <v>#REF!</v>
      </c>
      <c r="CN17" t="e">
        <f>IF(#REF!,"AAAAAH8/O1s=",0)</f>
        <v>#REF!</v>
      </c>
      <c r="CO17" t="e">
        <f>AND(#REF!,"AAAAAH8/O1w=")</f>
        <v>#REF!</v>
      </c>
      <c r="CP17" t="e">
        <f>AND(#REF!,"AAAAAH8/O10=")</f>
        <v>#REF!</v>
      </c>
      <c r="CQ17" t="e">
        <f>AND(#REF!,"AAAAAH8/O14=")</f>
        <v>#REF!</v>
      </c>
      <c r="CR17" t="e">
        <f>AND(#REF!,"AAAAAH8/O18=")</f>
        <v>#REF!</v>
      </c>
      <c r="CS17" t="e">
        <f>AND(#REF!,"AAAAAH8/O2A=")</f>
        <v>#REF!</v>
      </c>
      <c r="CT17" t="e">
        <f>AND(#REF!,"AAAAAH8/O2E=")</f>
        <v>#REF!</v>
      </c>
      <c r="CU17" t="e">
        <f>AND(#REF!,"AAAAAH8/O2I=")</f>
        <v>#REF!</v>
      </c>
      <c r="CV17" t="e">
        <f>AND(#REF!,"AAAAAH8/O2M=")</f>
        <v>#REF!</v>
      </c>
      <c r="CW17" t="e">
        <f>AND(#REF!,"AAAAAH8/O2Q=")</f>
        <v>#REF!</v>
      </c>
      <c r="CX17" t="e">
        <f>AND(#REF!,"AAAAAH8/O2U=")</f>
        <v>#REF!</v>
      </c>
      <c r="CY17" t="e">
        <f>AND(#REF!,"AAAAAH8/O2Y=")</f>
        <v>#REF!</v>
      </c>
      <c r="CZ17" t="e">
        <f>IF(#REF!,"AAAAAH8/O2c=",0)</f>
        <v>#REF!</v>
      </c>
      <c r="DA17" t="e">
        <f>AND(#REF!,"AAAAAH8/O2g=")</f>
        <v>#REF!</v>
      </c>
      <c r="DB17" t="e">
        <f>AND(#REF!,"AAAAAH8/O2k=")</f>
        <v>#REF!</v>
      </c>
      <c r="DC17" t="e">
        <f>AND(#REF!,"AAAAAH8/O2o=")</f>
        <v>#REF!</v>
      </c>
      <c r="DD17" t="e">
        <f>AND(#REF!,"AAAAAH8/O2s=")</f>
        <v>#REF!</v>
      </c>
      <c r="DE17" t="e">
        <f>AND(#REF!,"AAAAAH8/O2w=")</f>
        <v>#REF!</v>
      </c>
      <c r="DF17" t="e">
        <f>AND(#REF!,"AAAAAH8/O20=")</f>
        <v>#REF!</v>
      </c>
      <c r="DG17" t="e">
        <f>AND(#REF!,"AAAAAH8/O24=")</f>
        <v>#REF!</v>
      </c>
      <c r="DH17" t="e">
        <f>AND(#REF!,"AAAAAH8/O28=")</f>
        <v>#REF!</v>
      </c>
      <c r="DI17" t="e">
        <f>AND(#REF!,"AAAAAH8/O3A=")</f>
        <v>#REF!</v>
      </c>
      <c r="DJ17" t="e">
        <f>AND(#REF!,"AAAAAH8/O3E=")</f>
        <v>#REF!</v>
      </c>
      <c r="DK17" t="e">
        <f>AND(#REF!,"AAAAAH8/O3I=")</f>
        <v>#REF!</v>
      </c>
      <c r="DL17" t="e">
        <f>IF(#REF!,"AAAAAH8/O3M=",0)</f>
        <v>#REF!</v>
      </c>
      <c r="DM17" t="e">
        <f>AND(#REF!,"AAAAAH8/O3Q=")</f>
        <v>#REF!</v>
      </c>
      <c r="DN17" t="e">
        <f>AND(#REF!,"AAAAAH8/O3U=")</f>
        <v>#REF!</v>
      </c>
      <c r="DO17" t="e">
        <f>AND(#REF!,"AAAAAH8/O3Y=")</f>
        <v>#REF!</v>
      </c>
      <c r="DP17" t="e">
        <f>AND(#REF!,"AAAAAH8/O3c=")</f>
        <v>#REF!</v>
      </c>
      <c r="DQ17" t="e">
        <f>AND(#REF!,"AAAAAH8/O3g=")</f>
        <v>#REF!</v>
      </c>
      <c r="DR17" t="e">
        <f>AND(#REF!,"AAAAAH8/O3k=")</f>
        <v>#REF!</v>
      </c>
      <c r="DS17" t="e">
        <f>AND(#REF!,"AAAAAH8/O3o=")</f>
        <v>#REF!</v>
      </c>
      <c r="DT17" t="e">
        <f>AND(#REF!,"AAAAAH8/O3s=")</f>
        <v>#REF!</v>
      </c>
      <c r="DU17" t="e">
        <f>AND(#REF!,"AAAAAH8/O3w=")</f>
        <v>#REF!</v>
      </c>
      <c r="DV17" t="e">
        <f>AND(#REF!,"AAAAAH8/O30=")</f>
        <v>#REF!</v>
      </c>
      <c r="DW17" t="e">
        <f>AND(#REF!,"AAAAAH8/O34=")</f>
        <v>#REF!</v>
      </c>
      <c r="DX17" t="e">
        <f>IF(#REF!,"AAAAAH8/O38=",0)</f>
        <v>#REF!</v>
      </c>
      <c r="DY17" t="e">
        <f>AND(#REF!,"AAAAAH8/O4A=")</f>
        <v>#REF!</v>
      </c>
      <c r="DZ17" t="e">
        <f>AND(#REF!,"AAAAAH8/O4E=")</f>
        <v>#REF!</v>
      </c>
      <c r="EA17" t="e">
        <f>AND(#REF!,"AAAAAH8/O4I=")</f>
        <v>#REF!</v>
      </c>
      <c r="EB17" t="e">
        <f>AND(#REF!,"AAAAAH8/O4M=")</f>
        <v>#REF!</v>
      </c>
      <c r="EC17" t="e">
        <f>AND(#REF!,"AAAAAH8/O4Q=")</f>
        <v>#REF!</v>
      </c>
      <c r="ED17" t="e">
        <f>AND(#REF!,"AAAAAH8/O4U=")</f>
        <v>#REF!</v>
      </c>
      <c r="EE17" t="e">
        <f>AND(#REF!,"AAAAAH8/O4Y=")</f>
        <v>#REF!</v>
      </c>
      <c r="EF17" t="e">
        <f>AND(#REF!,"AAAAAH8/O4c=")</f>
        <v>#REF!</v>
      </c>
      <c r="EG17" t="e">
        <f>AND(#REF!,"AAAAAH8/O4g=")</f>
        <v>#REF!</v>
      </c>
      <c r="EH17" t="e">
        <f>AND(#REF!,"AAAAAH8/O4k=")</f>
        <v>#REF!</v>
      </c>
      <c r="EI17" t="e">
        <f>AND(#REF!,"AAAAAH8/O4o=")</f>
        <v>#REF!</v>
      </c>
      <c r="EJ17" t="e">
        <f>IF(#REF!,"AAAAAH8/O4s=",0)</f>
        <v>#REF!</v>
      </c>
      <c r="EK17" t="e">
        <f>AND(#REF!,"AAAAAH8/O4w=")</f>
        <v>#REF!</v>
      </c>
      <c r="EL17" t="e">
        <f>AND(#REF!,"AAAAAH8/O40=")</f>
        <v>#REF!</v>
      </c>
      <c r="EM17" t="e">
        <f>AND(#REF!,"AAAAAH8/O44=")</f>
        <v>#REF!</v>
      </c>
      <c r="EN17" t="e">
        <f>AND(#REF!,"AAAAAH8/O48=")</f>
        <v>#REF!</v>
      </c>
      <c r="EO17" t="e">
        <f>AND(#REF!,"AAAAAH8/O5A=")</f>
        <v>#REF!</v>
      </c>
      <c r="EP17" t="e">
        <f>AND(#REF!,"AAAAAH8/O5E=")</f>
        <v>#REF!</v>
      </c>
      <c r="EQ17" t="e">
        <f>AND(#REF!,"AAAAAH8/O5I=")</f>
        <v>#REF!</v>
      </c>
      <c r="ER17" t="e">
        <f>AND(#REF!,"AAAAAH8/O5M=")</f>
        <v>#REF!</v>
      </c>
      <c r="ES17" t="e">
        <f>AND(#REF!,"AAAAAH8/O5Q=")</f>
        <v>#REF!</v>
      </c>
      <c r="ET17" t="e">
        <f>AND(#REF!,"AAAAAH8/O5U=")</f>
        <v>#REF!</v>
      </c>
      <c r="EU17" t="e">
        <f>AND(#REF!,"AAAAAH8/O5Y=")</f>
        <v>#REF!</v>
      </c>
      <c r="EV17" t="e">
        <f>IF(#REF!,"AAAAAH8/O5c=",0)</f>
        <v>#REF!</v>
      </c>
      <c r="EW17" t="e">
        <f>AND(#REF!,"AAAAAH8/O5g=")</f>
        <v>#REF!</v>
      </c>
      <c r="EX17" t="e">
        <f>AND(#REF!,"AAAAAH8/O5k=")</f>
        <v>#REF!</v>
      </c>
      <c r="EY17" t="e">
        <f>AND(#REF!,"AAAAAH8/O5o=")</f>
        <v>#REF!</v>
      </c>
      <c r="EZ17" t="e">
        <f>AND(#REF!,"AAAAAH8/O5s=")</f>
        <v>#REF!</v>
      </c>
      <c r="FA17" t="e">
        <f>AND(#REF!,"AAAAAH8/O5w=")</f>
        <v>#REF!</v>
      </c>
      <c r="FB17" t="e">
        <f>AND(#REF!,"AAAAAH8/O50=")</f>
        <v>#REF!</v>
      </c>
      <c r="FC17" t="e">
        <f>AND(#REF!,"AAAAAH8/O54=")</f>
        <v>#REF!</v>
      </c>
      <c r="FD17" t="e">
        <f>AND(#REF!,"AAAAAH8/O58=")</f>
        <v>#REF!</v>
      </c>
      <c r="FE17" t="e">
        <f>AND(#REF!,"AAAAAH8/O6A=")</f>
        <v>#REF!</v>
      </c>
      <c r="FF17" t="e">
        <f>AND(#REF!,"AAAAAH8/O6E=")</f>
        <v>#REF!</v>
      </c>
      <c r="FG17" t="e">
        <f>AND(#REF!,"AAAAAH8/O6I=")</f>
        <v>#REF!</v>
      </c>
      <c r="FH17" t="e">
        <f>IF(#REF!,"AAAAAH8/O6M=",0)</f>
        <v>#REF!</v>
      </c>
      <c r="FI17" t="e">
        <f>AND(#REF!,"AAAAAH8/O6Q=")</f>
        <v>#REF!</v>
      </c>
      <c r="FJ17" t="e">
        <f>AND(#REF!,"AAAAAH8/O6U=")</f>
        <v>#REF!</v>
      </c>
      <c r="FK17" t="e">
        <f>AND(#REF!,"AAAAAH8/O6Y=")</f>
        <v>#REF!</v>
      </c>
      <c r="FL17" t="e">
        <f>AND(#REF!,"AAAAAH8/O6c=")</f>
        <v>#REF!</v>
      </c>
      <c r="FM17" t="e">
        <f>AND(#REF!,"AAAAAH8/O6g=")</f>
        <v>#REF!</v>
      </c>
      <c r="FN17" t="e">
        <f>AND(#REF!,"AAAAAH8/O6k=")</f>
        <v>#REF!</v>
      </c>
      <c r="FO17" t="e">
        <f>AND(#REF!,"AAAAAH8/O6o=")</f>
        <v>#REF!</v>
      </c>
      <c r="FP17" t="e">
        <f>AND(#REF!,"AAAAAH8/O6s=")</f>
        <v>#REF!</v>
      </c>
      <c r="FQ17" t="e">
        <f>AND(#REF!,"AAAAAH8/O6w=")</f>
        <v>#REF!</v>
      </c>
      <c r="FR17" t="e">
        <f>AND(#REF!,"AAAAAH8/O60=")</f>
        <v>#REF!</v>
      </c>
      <c r="FS17" t="e">
        <f>AND(#REF!,"AAAAAH8/O64=")</f>
        <v>#REF!</v>
      </c>
      <c r="FT17" t="e">
        <f>IF(#REF!,"AAAAAH8/O68=",0)</f>
        <v>#REF!</v>
      </c>
      <c r="FU17" t="e">
        <f>AND(#REF!,"AAAAAH8/O7A=")</f>
        <v>#REF!</v>
      </c>
      <c r="FV17" t="e">
        <f>AND(#REF!,"AAAAAH8/O7E=")</f>
        <v>#REF!</v>
      </c>
      <c r="FW17" t="e">
        <f>AND(#REF!,"AAAAAH8/O7I=")</f>
        <v>#REF!</v>
      </c>
      <c r="FX17" t="e">
        <f>AND(#REF!,"AAAAAH8/O7M=")</f>
        <v>#REF!</v>
      </c>
      <c r="FY17" t="e">
        <f>AND(#REF!,"AAAAAH8/O7Q=")</f>
        <v>#REF!</v>
      </c>
      <c r="FZ17" t="e">
        <f>AND(#REF!,"AAAAAH8/O7U=")</f>
        <v>#REF!</v>
      </c>
      <c r="GA17" t="e">
        <f>AND(#REF!,"AAAAAH8/O7Y=")</f>
        <v>#REF!</v>
      </c>
      <c r="GB17" t="e">
        <f>AND(#REF!,"AAAAAH8/O7c=")</f>
        <v>#REF!</v>
      </c>
      <c r="GC17" t="e">
        <f>AND(#REF!,"AAAAAH8/O7g=")</f>
        <v>#REF!</v>
      </c>
      <c r="GD17" t="e">
        <f>AND(#REF!,"AAAAAH8/O7k=")</f>
        <v>#REF!</v>
      </c>
      <c r="GE17" t="e">
        <f>AND(#REF!,"AAAAAH8/O7o=")</f>
        <v>#REF!</v>
      </c>
      <c r="GF17" t="e">
        <f>IF(#REF!,"AAAAAH8/O7s=",0)</f>
        <v>#REF!</v>
      </c>
      <c r="GG17" t="e">
        <f>AND(#REF!,"AAAAAH8/O7w=")</f>
        <v>#REF!</v>
      </c>
      <c r="GH17" t="e">
        <f>AND(#REF!,"AAAAAH8/O70=")</f>
        <v>#REF!</v>
      </c>
      <c r="GI17" t="e">
        <f>AND(#REF!,"AAAAAH8/O74=")</f>
        <v>#REF!</v>
      </c>
      <c r="GJ17" t="e">
        <f>AND(#REF!,"AAAAAH8/O78=")</f>
        <v>#REF!</v>
      </c>
      <c r="GK17" t="e">
        <f>AND(#REF!,"AAAAAH8/O8A=")</f>
        <v>#REF!</v>
      </c>
      <c r="GL17" t="e">
        <f>AND(#REF!,"AAAAAH8/O8E=")</f>
        <v>#REF!</v>
      </c>
      <c r="GM17" t="e">
        <f>AND(#REF!,"AAAAAH8/O8I=")</f>
        <v>#REF!</v>
      </c>
      <c r="GN17" t="e">
        <f>AND(#REF!,"AAAAAH8/O8M=")</f>
        <v>#REF!</v>
      </c>
      <c r="GO17" t="e">
        <f>AND(#REF!,"AAAAAH8/O8Q=")</f>
        <v>#REF!</v>
      </c>
      <c r="GP17" t="e">
        <f>AND(#REF!,"AAAAAH8/O8U=")</f>
        <v>#REF!</v>
      </c>
      <c r="GQ17" t="e">
        <f>AND(#REF!,"AAAAAH8/O8Y=")</f>
        <v>#REF!</v>
      </c>
      <c r="GR17" t="e">
        <f>IF(#REF!,"AAAAAH8/O8c=",0)</f>
        <v>#REF!</v>
      </c>
      <c r="GS17" t="e">
        <f>AND(#REF!,"AAAAAH8/O8g=")</f>
        <v>#REF!</v>
      </c>
      <c r="GT17" t="e">
        <f>AND(#REF!,"AAAAAH8/O8k=")</f>
        <v>#REF!</v>
      </c>
      <c r="GU17" t="e">
        <f>AND(#REF!,"AAAAAH8/O8o=")</f>
        <v>#REF!</v>
      </c>
      <c r="GV17" t="e">
        <f>AND(#REF!,"AAAAAH8/O8s=")</f>
        <v>#REF!</v>
      </c>
      <c r="GW17" t="e">
        <f>AND(#REF!,"AAAAAH8/O8w=")</f>
        <v>#REF!</v>
      </c>
      <c r="GX17" t="e">
        <f>AND(#REF!,"AAAAAH8/O80=")</f>
        <v>#REF!</v>
      </c>
      <c r="GY17" t="e">
        <f>AND(#REF!,"AAAAAH8/O84=")</f>
        <v>#REF!</v>
      </c>
      <c r="GZ17" t="e">
        <f>AND(#REF!,"AAAAAH8/O88=")</f>
        <v>#REF!</v>
      </c>
      <c r="HA17" t="e">
        <f>AND(#REF!,"AAAAAH8/O9A=")</f>
        <v>#REF!</v>
      </c>
      <c r="HB17" t="e">
        <f>AND(#REF!,"AAAAAH8/O9E=")</f>
        <v>#REF!</v>
      </c>
      <c r="HC17" t="e">
        <f>AND(#REF!,"AAAAAH8/O9I=")</f>
        <v>#REF!</v>
      </c>
      <c r="HD17" t="e">
        <f>IF(#REF!,"AAAAAH8/O9M=",0)</f>
        <v>#REF!</v>
      </c>
      <c r="HE17" t="e">
        <f>AND(#REF!,"AAAAAH8/O9Q=")</f>
        <v>#REF!</v>
      </c>
      <c r="HF17" t="e">
        <f>AND(#REF!,"AAAAAH8/O9U=")</f>
        <v>#REF!</v>
      </c>
      <c r="HG17" t="e">
        <f>AND(#REF!,"AAAAAH8/O9Y=")</f>
        <v>#REF!</v>
      </c>
      <c r="HH17" t="e">
        <f>AND(#REF!,"AAAAAH8/O9c=")</f>
        <v>#REF!</v>
      </c>
      <c r="HI17" t="e">
        <f>AND(#REF!,"AAAAAH8/O9g=")</f>
        <v>#REF!</v>
      </c>
      <c r="HJ17" t="e">
        <f>AND(#REF!,"AAAAAH8/O9k=")</f>
        <v>#REF!</v>
      </c>
      <c r="HK17" t="e">
        <f>AND(#REF!,"AAAAAH8/O9o=")</f>
        <v>#REF!</v>
      </c>
      <c r="HL17" t="e">
        <f>AND(#REF!,"AAAAAH8/O9s=")</f>
        <v>#REF!</v>
      </c>
      <c r="HM17" t="e">
        <f>AND(#REF!,"AAAAAH8/O9w=")</f>
        <v>#REF!</v>
      </c>
      <c r="HN17" t="e">
        <f>AND(#REF!,"AAAAAH8/O90=")</f>
        <v>#REF!</v>
      </c>
      <c r="HO17" t="e">
        <f>AND(#REF!,"AAAAAH8/O94=")</f>
        <v>#REF!</v>
      </c>
      <c r="HP17" t="e">
        <f>IF(#REF!,"AAAAAH8/O98=",0)</f>
        <v>#REF!</v>
      </c>
      <c r="HQ17" t="e">
        <f>AND(#REF!,"AAAAAH8/O+A=")</f>
        <v>#REF!</v>
      </c>
      <c r="HR17" t="e">
        <f>AND(#REF!,"AAAAAH8/O+E=")</f>
        <v>#REF!</v>
      </c>
      <c r="HS17" t="e">
        <f>AND(#REF!,"AAAAAH8/O+I=")</f>
        <v>#REF!</v>
      </c>
      <c r="HT17" t="e">
        <f>AND(#REF!,"AAAAAH8/O+M=")</f>
        <v>#REF!</v>
      </c>
      <c r="HU17" t="e">
        <f>AND(#REF!,"AAAAAH8/O+Q=")</f>
        <v>#REF!</v>
      </c>
      <c r="HV17" t="e">
        <f>AND(#REF!,"AAAAAH8/O+U=")</f>
        <v>#REF!</v>
      </c>
      <c r="HW17" t="e">
        <f>AND(#REF!,"AAAAAH8/O+Y=")</f>
        <v>#REF!</v>
      </c>
      <c r="HX17" t="e">
        <f>AND(#REF!,"AAAAAH8/O+c=")</f>
        <v>#REF!</v>
      </c>
      <c r="HY17" t="e">
        <f>AND(#REF!,"AAAAAH8/O+g=")</f>
        <v>#REF!</v>
      </c>
      <c r="HZ17" t="e">
        <f>AND(#REF!,"AAAAAH8/O+k=")</f>
        <v>#REF!</v>
      </c>
      <c r="IA17" t="e">
        <f>AND(#REF!,"AAAAAH8/O+o=")</f>
        <v>#REF!</v>
      </c>
      <c r="IB17" t="e">
        <f>IF(#REF!,"AAAAAH8/O+s=",0)</f>
        <v>#REF!</v>
      </c>
      <c r="IC17" t="e">
        <f>AND(#REF!,"AAAAAH8/O+w=")</f>
        <v>#REF!</v>
      </c>
      <c r="ID17" t="e">
        <f>AND(#REF!,"AAAAAH8/O+0=")</f>
        <v>#REF!</v>
      </c>
      <c r="IE17" t="e">
        <f>AND(#REF!,"AAAAAH8/O+4=")</f>
        <v>#REF!</v>
      </c>
      <c r="IF17" t="e">
        <f>AND(#REF!,"AAAAAH8/O+8=")</f>
        <v>#REF!</v>
      </c>
      <c r="IG17" t="e">
        <f>AND(#REF!,"AAAAAH8/O/A=")</f>
        <v>#REF!</v>
      </c>
      <c r="IH17" t="e">
        <f>AND(#REF!,"AAAAAH8/O/E=")</f>
        <v>#REF!</v>
      </c>
      <c r="II17" t="e">
        <f>AND(#REF!,"AAAAAH8/O/I=")</f>
        <v>#REF!</v>
      </c>
      <c r="IJ17" t="e">
        <f>AND(#REF!,"AAAAAH8/O/M=")</f>
        <v>#REF!</v>
      </c>
      <c r="IK17" t="e">
        <f>AND(#REF!,"AAAAAH8/O/Q=")</f>
        <v>#REF!</v>
      </c>
      <c r="IL17" t="e">
        <f>AND(#REF!,"AAAAAH8/O/U=")</f>
        <v>#REF!</v>
      </c>
      <c r="IM17" t="e">
        <f>AND(#REF!,"AAAAAH8/O/Y=")</f>
        <v>#REF!</v>
      </c>
      <c r="IN17" t="e">
        <f>IF(#REF!,"AAAAAH8/O/c=",0)</f>
        <v>#REF!</v>
      </c>
      <c r="IO17" t="e">
        <f>AND(#REF!,"AAAAAH8/O/g=")</f>
        <v>#REF!</v>
      </c>
      <c r="IP17" t="e">
        <f>AND(#REF!,"AAAAAH8/O/k=")</f>
        <v>#REF!</v>
      </c>
      <c r="IQ17" t="e">
        <f>AND(#REF!,"AAAAAH8/O/o=")</f>
        <v>#REF!</v>
      </c>
      <c r="IR17" t="e">
        <f>AND(#REF!,"AAAAAH8/O/s=")</f>
        <v>#REF!</v>
      </c>
      <c r="IS17" t="e">
        <f>AND(#REF!,"AAAAAH8/O/w=")</f>
        <v>#REF!</v>
      </c>
      <c r="IT17" t="e">
        <f>AND(#REF!,"AAAAAH8/O/0=")</f>
        <v>#REF!</v>
      </c>
      <c r="IU17" t="e">
        <f>AND(#REF!,"AAAAAH8/O/4=")</f>
        <v>#REF!</v>
      </c>
      <c r="IV17" t="e">
        <f>AND(#REF!,"AAAAAH8/O/8=")</f>
        <v>#REF!</v>
      </c>
    </row>
    <row r="18" spans="1:256" x14ac:dyDescent="0.2">
      <c r="A18" t="e">
        <f>AND(#REF!,"AAAAAF9/XgA=")</f>
        <v>#REF!</v>
      </c>
      <c r="B18" t="e">
        <f>AND(#REF!,"AAAAAF9/XgE=")</f>
        <v>#REF!</v>
      </c>
      <c r="C18" t="e">
        <f>AND(#REF!,"AAAAAF9/XgI=")</f>
        <v>#REF!</v>
      </c>
      <c r="D18" t="e">
        <f>IF(#REF!,"AAAAAF9/XgM=",0)</f>
        <v>#REF!</v>
      </c>
      <c r="E18" t="e">
        <f>AND(#REF!,"AAAAAF9/XgQ=")</f>
        <v>#REF!</v>
      </c>
      <c r="F18" t="e">
        <f>AND(#REF!,"AAAAAF9/XgU=")</f>
        <v>#REF!</v>
      </c>
      <c r="G18" t="e">
        <f>AND(#REF!,"AAAAAF9/XgY=")</f>
        <v>#REF!</v>
      </c>
      <c r="H18" t="e">
        <f>AND(#REF!,"AAAAAF9/Xgc=")</f>
        <v>#REF!</v>
      </c>
      <c r="I18" t="e">
        <f>AND(#REF!,"AAAAAF9/Xgg=")</f>
        <v>#REF!</v>
      </c>
      <c r="J18" t="e">
        <f>AND(#REF!,"AAAAAF9/Xgk=")</f>
        <v>#REF!</v>
      </c>
      <c r="K18" t="e">
        <f>AND(#REF!,"AAAAAF9/Xgo=")</f>
        <v>#REF!</v>
      </c>
      <c r="L18" t="e">
        <f>AND(#REF!,"AAAAAF9/Xgs=")</f>
        <v>#REF!</v>
      </c>
      <c r="M18" t="e">
        <f>AND(#REF!,"AAAAAF9/Xgw=")</f>
        <v>#REF!</v>
      </c>
      <c r="N18" t="e">
        <f>AND(#REF!,"AAAAAF9/Xg0=")</f>
        <v>#REF!</v>
      </c>
      <c r="O18" t="e">
        <f>AND(#REF!,"AAAAAF9/Xg4=")</f>
        <v>#REF!</v>
      </c>
      <c r="P18" t="e">
        <f>IF(#REF!,"AAAAAF9/Xg8=",0)</f>
        <v>#REF!</v>
      </c>
      <c r="Q18" t="e">
        <f>AND(#REF!,"AAAAAF9/XhA=")</f>
        <v>#REF!</v>
      </c>
      <c r="R18" t="e">
        <f>AND(#REF!,"AAAAAF9/XhE=")</f>
        <v>#REF!</v>
      </c>
      <c r="S18" t="e">
        <f>AND(#REF!,"AAAAAF9/XhI=")</f>
        <v>#REF!</v>
      </c>
      <c r="T18" t="e">
        <f>AND(#REF!,"AAAAAF9/XhM=")</f>
        <v>#REF!</v>
      </c>
      <c r="U18" t="e">
        <f>AND(#REF!,"AAAAAF9/XhQ=")</f>
        <v>#REF!</v>
      </c>
      <c r="V18" t="e">
        <f>AND(#REF!,"AAAAAF9/XhU=")</f>
        <v>#REF!</v>
      </c>
      <c r="W18" t="e">
        <f>AND(#REF!,"AAAAAF9/XhY=")</f>
        <v>#REF!</v>
      </c>
      <c r="X18" t="e">
        <f>AND(#REF!,"AAAAAF9/Xhc=")</f>
        <v>#REF!</v>
      </c>
      <c r="Y18" t="e">
        <f>AND(#REF!,"AAAAAF9/Xhg=")</f>
        <v>#REF!</v>
      </c>
      <c r="Z18" t="e">
        <f>AND(#REF!,"AAAAAF9/Xhk=")</f>
        <v>#REF!</v>
      </c>
      <c r="AA18" t="e">
        <f>AND(#REF!,"AAAAAF9/Xho=")</f>
        <v>#REF!</v>
      </c>
      <c r="AB18" t="e">
        <f>IF(#REF!,"AAAAAF9/Xhs=",0)</f>
        <v>#REF!</v>
      </c>
      <c r="AC18" t="e">
        <f>AND(#REF!,"AAAAAF9/Xhw=")</f>
        <v>#REF!</v>
      </c>
      <c r="AD18" t="e">
        <f>AND(#REF!,"AAAAAF9/Xh0=")</f>
        <v>#REF!</v>
      </c>
      <c r="AE18" t="e">
        <f>AND(#REF!,"AAAAAF9/Xh4=")</f>
        <v>#REF!</v>
      </c>
      <c r="AF18" t="e">
        <f>AND(#REF!,"AAAAAF9/Xh8=")</f>
        <v>#REF!</v>
      </c>
      <c r="AG18" t="e">
        <f>AND(#REF!,"AAAAAF9/XiA=")</f>
        <v>#REF!</v>
      </c>
      <c r="AH18" t="e">
        <f>AND(#REF!,"AAAAAF9/XiE=")</f>
        <v>#REF!</v>
      </c>
      <c r="AI18" t="e">
        <f>AND(#REF!,"AAAAAF9/XiI=")</f>
        <v>#REF!</v>
      </c>
      <c r="AJ18" t="e">
        <f>AND(#REF!,"AAAAAF9/XiM=")</f>
        <v>#REF!</v>
      </c>
      <c r="AK18" t="e">
        <f>AND(#REF!,"AAAAAF9/XiQ=")</f>
        <v>#REF!</v>
      </c>
      <c r="AL18" t="e">
        <f>AND(#REF!,"AAAAAF9/XiU=")</f>
        <v>#REF!</v>
      </c>
      <c r="AM18" t="e">
        <f>AND(#REF!,"AAAAAF9/XiY=")</f>
        <v>#REF!</v>
      </c>
      <c r="AN18" t="e">
        <f>IF(#REF!,"AAAAAF9/Xic=",0)</f>
        <v>#REF!</v>
      </c>
      <c r="AO18" t="e">
        <f>AND(#REF!,"AAAAAF9/Xig=")</f>
        <v>#REF!</v>
      </c>
      <c r="AP18" t="e">
        <f>AND(#REF!,"AAAAAF9/Xik=")</f>
        <v>#REF!</v>
      </c>
      <c r="AQ18" t="e">
        <f>AND(#REF!,"AAAAAF9/Xio=")</f>
        <v>#REF!</v>
      </c>
      <c r="AR18" t="e">
        <f>AND(#REF!,"AAAAAF9/Xis=")</f>
        <v>#REF!</v>
      </c>
      <c r="AS18" t="e">
        <f>AND(#REF!,"AAAAAF9/Xiw=")</f>
        <v>#REF!</v>
      </c>
      <c r="AT18" t="e">
        <f>AND(#REF!,"AAAAAF9/Xi0=")</f>
        <v>#REF!</v>
      </c>
      <c r="AU18" t="e">
        <f>AND(#REF!,"AAAAAF9/Xi4=")</f>
        <v>#REF!</v>
      </c>
      <c r="AV18" t="e">
        <f>AND(#REF!,"AAAAAF9/Xi8=")</f>
        <v>#REF!</v>
      </c>
      <c r="AW18" t="e">
        <f>AND(#REF!,"AAAAAF9/XjA=")</f>
        <v>#REF!</v>
      </c>
      <c r="AX18" t="e">
        <f>AND(#REF!,"AAAAAF9/XjE=")</f>
        <v>#REF!</v>
      </c>
      <c r="AY18" t="e">
        <f>AND(#REF!,"AAAAAF9/XjI=")</f>
        <v>#REF!</v>
      </c>
      <c r="AZ18" t="e">
        <f>IF(#REF!,"AAAAAF9/XjM=",0)</f>
        <v>#REF!</v>
      </c>
      <c r="BA18" t="e">
        <f>AND(#REF!,"AAAAAF9/XjQ=")</f>
        <v>#REF!</v>
      </c>
      <c r="BB18" t="e">
        <f>AND(#REF!,"AAAAAF9/XjU=")</f>
        <v>#REF!</v>
      </c>
      <c r="BC18" t="e">
        <f>AND(#REF!,"AAAAAF9/XjY=")</f>
        <v>#REF!</v>
      </c>
      <c r="BD18" t="e">
        <f>AND(#REF!,"AAAAAF9/Xjc=")</f>
        <v>#REF!</v>
      </c>
      <c r="BE18" t="e">
        <f>AND(#REF!,"AAAAAF9/Xjg=")</f>
        <v>#REF!</v>
      </c>
      <c r="BF18" t="e">
        <f>AND(#REF!,"AAAAAF9/Xjk=")</f>
        <v>#REF!</v>
      </c>
      <c r="BG18" t="e">
        <f>AND(#REF!,"AAAAAF9/Xjo=")</f>
        <v>#REF!</v>
      </c>
      <c r="BH18" t="e">
        <f>AND(#REF!,"AAAAAF9/Xjs=")</f>
        <v>#REF!</v>
      </c>
      <c r="BI18" t="e">
        <f>AND(#REF!,"AAAAAF9/Xjw=")</f>
        <v>#REF!</v>
      </c>
      <c r="BJ18" t="e">
        <f>AND(#REF!,"AAAAAF9/Xj0=")</f>
        <v>#REF!</v>
      </c>
      <c r="BK18" t="e">
        <f>AND(#REF!,"AAAAAF9/Xj4=")</f>
        <v>#REF!</v>
      </c>
      <c r="BL18" t="e">
        <f>IF(#REF!,"AAAAAF9/Xj8=",0)</f>
        <v>#REF!</v>
      </c>
      <c r="BM18" t="e">
        <f>AND(#REF!,"AAAAAF9/XkA=")</f>
        <v>#REF!</v>
      </c>
      <c r="BN18" t="e">
        <f>AND(#REF!,"AAAAAF9/XkE=")</f>
        <v>#REF!</v>
      </c>
      <c r="BO18" t="e">
        <f>AND(#REF!,"AAAAAF9/XkI=")</f>
        <v>#REF!</v>
      </c>
      <c r="BP18" t="e">
        <f>AND(#REF!,"AAAAAF9/XkM=")</f>
        <v>#REF!</v>
      </c>
      <c r="BQ18" t="e">
        <f>AND(#REF!,"AAAAAF9/XkQ=")</f>
        <v>#REF!</v>
      </c>
      <c r="BR18" t="e">
        <f>AND(#REF!,"AAAAAF9/XkU=")</f>
        <v>#REF!</v>
      </c>
      <c r="BS18" t="e">
        <f>AND(#REF!,"AAAAAF9/XkY=")</f>
        <v>#REF!</v>
      </c>
      <c r="BT18" t="e">
        <f>AND(#REF!,"AAAAAF9/Xkc=")</f>
        <v>#REF!</v>
      </c>
      <c r="BU18" t="e">
        <f>AND(#REF!,"AAAAAF9/Xkg=")</f>
        <v>#REF!</v>
      </c>
      <c r="BV18" t="e">
        <f>AND(#REF!,"AAAAAF9/Xkk=")</f>
        <v>#REF!</v>
      </c>
      <c r="BW18" t="e">
        <f>AND(#REF!,"AAAAAF9/Xko=")</f>
        <v>#REF!</v>
      </c>
      <c r="BX18" t="e">
        <f>IF(#REF!,"AAAAAF9/Xks=",0)</f>
        <v>#REF!</v>
      </c>
      <c r="BY18" t="e">
        <f>AND(#REF!,"AAAAAF9/Xkw=")</f>
        <v>#REF!</v>
      </c>
      <c r="BZ18" t="e">
        <f>AND(#REF!,"AAAAAF9/Xk0=")</f>
        <v>#REF!</v>
      </c>
      <c r="CA18" t="e">
        <f>AND(#REF!,"AAAAAF9/Xk4=")</f>
        <v>#REF!</v>
      </c>
      <c r="CB18" t="e">
        <f>AND(#REF!,"AAAAAF9/Xk8=")</f>
        <v>#REF!</v>
      </c>
      <c r="CC18" t="e">
        <f>AND(#REF!,"AAAAAF9/XlA=")</f>
        <v>#REF!</v>
      </c>
      <c r="CD18" t="e">
        <f>AND(#REF!,"AAAAAF9/XlE=")</f>
        <v>#REF!</v>
      </c>
      <c r="CE18" t="e">
        <f>AND(#REF!,"AAAAAF9/XlI=")</f>
        <v>#REF!</v>
      </c>
      <c r="CF18" t="e">
        <f>AND(#REF!,"AAAAAF9/XlM=")</f>
        <v>#REF!</v>
      </c>
      <c r="CG18" t="e">
        <f>AND(#REF!,"AAAAAF9/XlQ=")</f>
        <v>#REF!</v>
      </c>
      <c r="CH18" t="e">
        <f>AND(#REF!,"AAAAAF9/XlU=")</f>
        <v>#REF!</v>
      </c>
      <c r="CI18" t="e">
        <f>AND(#REF!,"AAAAAF9/XlY=")</f>
        <v>#REF!</v>
      </c>
      <c r="CJ18" t="e">
        <f>IF(#REF!,"AAAAAF9/Xlc=",0)</f>
        <v>#REF!</v>
      </c>
      <c r="CK18" t="e">
        <f>AND(#REF!,"AAAAAF9/Xlg=")</f>
        <v>#REF!</v>
      </c>
      <c r="CL18" t="e">
        <f>AND(#REF!,"AAAAAF9/Xlk=")</f>
        <v>#REF!</v>
      </c>
      <c r="CM18" t="e">
        <f>AND(#REF!,"AAAAAF9/Xlo=")</f>
        <v>#REF!</v>
      </c>
      <c r="CN18" t="e">
        <f>AND(#REF!,"AAAAAF9/Xls=")</f>
        <v>#REF!</v>
      </c>
      <c r="CO18" t="e">
        <f>AND(#REF!,"AAAAAF9/Xlw=")</f>
        <v>#REF!</v>
      </c>
      <c r="CP18" t="e">
        <f>AND(#REF!,"AAAAAF9/Xl0=")</f>
        <v>#REF!</v>
      </c>
      <c r="CQ18" t="e">
        <f>AND(#REF!,"AAAAAF9/Xl4=")</f>
        <v>#REF!</v>
      </c>
      <c r="CR18" t="e">
        <f>AND(#REF!,"AAAAAF9/Xl8=")</f>
        <v>#REF!</v>
      </c>
      <c r="CS18" t="e">
        <f>AND(#REF!,"AAAAAF9/XmA=")</f>
        <v>#REF!</v>
      </c>
      <c r="CT18" t="e">
        <f>AND(#REF!,"AAAAAF9/XmE=")</f>
        <v>#REF!</v>
      </c>
      <c r="CU18" t="e">
        <f>AND(#REF!,"AAAAAF9/XmI=")</f>
        <v>#REF!</v>
      </c>
      <c r="CV18" t="e">
        <f>IF(#REF!,"AAAAAF9/XmM=",0)</f>
        <v>#REF!</v>
      </c>
      <c r="CW18" t="e">
        <f>AND(#REF!,"AAAAAF9/XmQ=")</f>
        <v>#REF!</v>
      </c>
      <c r="CX18" t="e">
        <f>AND(#REF!,"AAAAAF9/XmU=")</f>
        <v>#REF!</v>
      </c>
      <c r="CY18" t="e">
        <f>AND(#REF!,"AAAAAF9/XmY=")</f>
        <v>#REF!</v>
      </c>
      <c r="CZ18" t="e">
        <f>AND(#REF!,"AAAAAF9/Xmc=")</f>
        <v>#REF!</v>
      </c>
      <c r="DA18" t="e">
        <f>AND(#REF!,"AAAAAF9/Xmg=")</f>
        <v>#REF!</v>
      </c>
      <c r="DB18" t="e">
        <f>AND(#REF!,"AAAAAF9/Xmk=")</f>
        <v>#REF!</v>
      </c>
      <c r="DC18" t="e">
        <f>AND(#REF!,"AAAAAF9/Xmo=")</f>
        <v>#REF!</v>
      </c>
      <c r="DD18" t="e">
        <f>AND(#REF!,"AAAAAF9/Xms=")</f>
        <v>#REF!</v>
      </c>
      <c r="DE18" t="e">
        <f>AND(#REF!,"AAAAAF9/Xmw=")</f>
        <v>#REF!</v>
      </c>
      <c r="DF18" t="e">
        <f>AND(#REF!,"AAAAAF9/Xm0=")</f>
        <v>#REF!</v>
      </c>
      <c r="DG18" t="e">
        <f>AND(#REF!,"AAAAAF9/Xm4=")</f>
        <v>#REF!</v>
      </c>
      <c r="DH18" t="e">
        <f>IF(#REF!,"AAAAAF9/Xm8=",0)</f>
        <v>#REF!</v>
      </c>
      <c r="DI18" t="e">
        <f>AND(#REF!,"AAAAAF9/XnA=")</f>
        <v>#REF!</v>
      </c>
      <c r="DJ18" t="e">
        <f>AND(#REF!,"AAAAAF9/XnE=")</f>
        <v>#REF!</v>
      </c>
      <c r="DK18" t="e">
        <f>AND(#REF!,"AAAAAF9/XnI=")</f>
        <v>#REF!</v>
      </c>
      <c r="DL18" t="e">
        <f>AND(#REF!,"AAAAAF9/XnM=")</f>
        <v>#REF!</v>
      </c>
      <c r="DM18" t="e">
        <f>AND(#REF!,"AAAAAF9/XnQ=")</f>
        <v>#REF!</v>
      </c>
      <c r="DN18" t="e">
        <f>AND(#REF!,"AAAAAF9/XnU=")</f>
        <v>#REF!</v>
      </c>
      <c r="DO18" t="e">
        <f>AND(#REF!,"AAAAAF9/XnY=")</f>
        <v>#REF!</v>
      </c>
      <c r="DP18" t="e">
        <f>AND(#REF!,"AAAAAF9/Xnc=")</f>
        <v>#REF!</v>
      </c>
      <c r="DQ18" t="e">
        <f>AND(#REF!,"AAAAAF9/Xng=")</f>
        <v>#REF!</v>
      </c>
      <c r="DR18" t="e">
        <f>AND(#REF!,"AAAAAF9/Xnk=")</f>
        <v>#REF!</v>
      </c>
      <c r="DS18" t="e">
        <f>AND(#REF!,"AAAAAF9/Xno=")</f>
        <v>#REF!</v>
      </c>
      <c r="DT18" t="e">
        <f>IF(#REF!,"AAAAAF9/Xns=",0)</f>
        <v>#REF!</v>
      </c>
      <c r="DU18" t="e">
        <f>AND(#REF!,"AAAAAF9/Xnw=")</f>
        <v>#REF!</v>
      </c>
      <c r="DV18" t="e">
        <f>AND(#REF!,"AAAAAF9/Xn0=")</f>
        <v>#REF!</v>
      </c>
      <c r="DW18" t="e">
        <f>AND(#REF!,"AAAAAF9/Xn4=")</f>
        <v>#REF!</v>
      </c>
      <c r="DX18" t="e">
        <f>AND(#REF!,"AAAAAF9/Xn8=")</f>
        <v>#REF!</v>
      </c>
      <c r="DY18" t="e">
        <f>AND(#REF!,"AAAAAF9/XoA=")</f>
        <v>#REF!</v>
      </c>
      <c r="DZ18" t="e">
        <f>AND(#REF!,"AAAAAF9/XoE=")</f>
        <v>#REF!</v>
      </c>
      <c r="EA18" t="e">
        <f>AND(#REF!,"AAAAAF9/XoI=")</f>
        <v>#REF!</v>
      </c>
      <c r="EB18" t="e">
        <f>AND(#REF!,"AAAAAF9/XoM=")</f>
        <v>#REF!</v>
      </c>
      <c r="EC18" t="e">
        <f>AND(#REF!,"AAAAAF9/XoQ=")</f>
        <v>#REF!</v>
      </c>
      <c r="ED18" t="e">
        <f>AND(#REF!,"AAAAAF9/XoU=")</f>
        <v>#REF!</v>
      </c>
      <c r="EE18" t="e">
        <f>AND(#REF!,"AAAAAF9/XoY=")</f>
        <v>#REF!</v>
      </c>
      <c r="EF18" t="e">
        <f>IF(#REF!,"AAAAAF9/Xoc=",0)</f>
        <v>#REF!</v>
      </c>
      <c r="EG18" t="e">
        <f>AND(#REF!,"AAAAAF9/Xog=")</f>
        <v>#REF!</v>
      </c>
      <c r="EH18" t="e">
        <f>AND(#REF!,"AAAAAF9/Xok=")</f>
        <v>#REF!</v>
      </c>
      <c r="EI18" t="e">
        <f>AND(#REF!,"AAAAAF9/Xoo=")</f>
        <v>#REF!</v>
      </c>
      <c r="EJ18" t="e">
        <f>AND(#REF!,"AAAAAF9/Xos=")</f>
        <v>#REF!</v>
      </c>
      <c r="EK18" t="e">
        <f>AND(#REF!,"AAAAAF9/Xow=")</f>
        <v>#REF!</v>
      </c>
      <c r="EL18" t="e">
        <f>AND(#REF!,"AAAAAF9/Xo0=")</f>
        <v>#REF!</v>
      </c>
      <c r="EM18" t="e">
        <f>AND(#REF!,"AAAAAF9/Xo4=")</f>
        <v>#REF!</v>
      </c>
      <c r="EN18" t="e">
        <f>AND(#REF!,"AAAAAF9/Xo8=")</f>
        <v>#REF!</v>
      </c>
      <c r="EO18" t="e">
        <f>AND(#REF!,"AAAAAF9/XpA=")</f>
        <v>#REF!</v>
      </c>
      <c r="EP18" t="e">
        <f>AND(#REF!,"AAAAAF9/XpE=")</f>
        <v>#REF!</v>
      </c>
      <c r="EQ18" t="e">
        <f>AND(#REF!,"AAAAAF9/XpI=")</f>
        <v>#REF!</v>
      </c>
      <c r="ER18" t="e">
        <f>IF(#REF!,"AAAAAF9/XpM=",0)</f>
        <v>#REF!</v>
      </c>
      <c r="ES18" t="e">
        <f>AND(#REF!,"AAAAAF9/XpQ=")</f>
        <v>#REF!</v>
      </c>
      <c r="ET18" t="e">
        <f>AND(#REF!,"AAAAAF9/XpU=")</f>
        <v>#REF!</v>
      </c>
      <c r="EU18" t="e">
        <f>AND(#REF!,"AAAAAF9/XpY=")</f>
        <v>#REF!</v>
      </c>
      <c r="EV18" t="e">
        <f>AND(#REF!,"AAAAAF9/Xpc=")</f>
        <v>#REF!</v>
      </c>
      <c r="EW18" t="e">
        <f>AND(#REF!,"AAAAAF9/Xpg=")</f>
        <v>#REF!</v>
      </c>
      <c r="EX18" t="e">
        <f>AND(#REF!,"AAAAAF9/Xpk=")</f>
        <v>#REF!</v>
      </c>
      <c r="EY18" t="e">
        <f>AND(#REF!,"AAAAAF9/Xpo=")</f>
        <v>#REF!</v>
      </c>
      <c r="EZ18" t="e">
        <f>AND(#REF!,"AAAAAF9/Xps=")</f>
        <v>#REF!</v>
      </c>
      <c r="FA18" t="e">
        <f>AND(#REF!,"AAAAAF9/Xpw=")</f>
        <v>#REF!</v>
      </c>
      <c r="FB18" t="e">
        <f>AND(#REF!,"AAAAAF9/Xp0=")</f>
        <v>#REF!</v>
      </c>
      <c r="FC18" t="e">
        <f>AND(#REF!,"AAAAAF9/Xp4=")</f>
        <v>#REF!</v>
      </c>
      <c r="FD18" t="e">
        <f>IF(#REF!,"AAAAAF9/Xp8=",0)</f>
        <v>#REF!</v>
      </c>
      <c r="FE18" t="e">
        <f>AND(#REF!,"AAAAAF9/XqA=")</f>
        <v>#REF!</v>
      </c>
      <c r="FF18" t="e">
        <f>AND(#REF!,"AAAAAF9/XqE=")</f>
        <v>#REF!</v>
      </c>
      <c r="FG18" t="e">
        <f>AND(#REF!,"AAAAAF9/XqI=")</f>
        <v>#REF!</v>
      </c>
      <c r="FH18" t="e">
        <f>AND(#REF!,"AAAAAF9/XqM=")</f>
        <v>#REF!</v>
      </c>
      <c r="FI18" t="e">
        <f>AND(#REF!,"AAAAAF9/XqQ=")</f>
        <v>#REF!</v>
      </c>
      <c r="FJ18" t="e">
        <f>AND(#REF!,"AAAAAF9/XqU=")</f>
        <v>#REF!</v>
      </c>
      <c r="FK18" t="e">
        <f>AND(#REF!,"AAAAAF9/XqY=")</f>
        <v>#REF!</v>
      </c>
      <c r="FL18" t="e">
        <f>AND(#REF!,"AAAAAF9/Xqc=")</f>
        <v>#REF!</v>
      </c>
      <c r="FM18" t="e">
        <f>AND(#REF!,"AAAAAF9/Xqg=")</f>
        <v>#REF!</v>
      </c>
      <c r="FN18" t="e">
        <f>AND(#REF!,"AAAAAF9/Xqk=")</f>
        <v>#REF!</v>
      </c>
      <c r="FO18" t="e">
        <f>AND(#REF!,"AAAAAF9/Xqo=")</f>
        <v>#REF!</v>
      </c>
      <c r="FP18" t="e">
        <f>IF(#REF!,"AAAAAF9/Xqs=",0)</f>
        <v>#REF!</v>
      </c>
      <c r="FQ18" t="e">
        <f>AND(#REF!,"AAAAAF9/Xqw=")</f>
        <v>#REF!</v>
      </c>
      <c r="FR18" t="e">
        <f>AND(#REF!,"AAAAAF9/Xq0=")</f>
        <v>#REF!</v>
      </c>
      <c r="FS18" t="e">
        <f>AND(#REF!,"AAAAAF9/Xq4=")</f>
        <v>#REF!</v>
      </c>
      <c r="FT18" t="e">
        <f>AND(#REF!,"AAAAAF9/Xq8=")</f>
        <v>#REF!</v>
      </c>
      <c r="FU18" t="e">
        <f>AND(#REF!,"AAAAAF9/XrA=")</f>
        <v>#REF!</v>
      </c>
      <c r="FV18" t="e">
        <f>AND(#REF!,"AAAAAF9/XrE=")</f>
        <v>#REF!</v>
      </c>
      <c r="FW18" t="e">
        <f>AND(#REF!,"AAAAAF9/XrI=")</f>
        <v>#REF!</v>
      </c>
      <c r="FX18" t="e">
        <f>AND(#REF!,"AAAAAF9/XrM=")</f>
        <v>#REF!</v>
      </c>
      <c r="FY18" t="e">
        <f>AND(#REF!,"AAAAAF9/XrQ=")</f>
        <v>#REF!</v>
      </c>
      <c r="FZ18" t="e">
        <f>AND(#REF!,"AAAAAF9/XrU=")</f>
        <v>#REF!</v>
      </c>
      <c r="GA18" t="e">
        <f>AND(#REF!,"AAAAAF9/XrY=")</f>
        <v>#REF!</v>
      </c>
      <c r="GB18" t="e">
        <f>IF(#REF!,"AAAAAF9/Xrc=",0)</f>
        <v>#REF!</v>
      </c>
      <c r="GC18" t="e">
        <f>AND(#REF!,"AAAAAF9/Xrg=")</f>
        <v>#REF!</v>
      </c>
      <c r="GD18" t="e">
        <f>AND(#REF!,"AAAAAF9/Xrk=")</f>
        <v>#REF!</v>
      </c>
      <c r="GE18" t="e">
        <f>AND(#REF!,"AAAAAF9/Xro=")</f>
        <v>#REF!</v>
      </c>
      <c r="GF18" t="e">
        <f>AND(#REF!,"AAAAAF9/Xrs=")</f>
        <v>#REF!</v>
      </c>
      <c r="GG18" t="e">
        <f>AND(#REF!,"AAAAAF9/Xrw=")</f>
        <v>#REF!</v>
      </c>
      <c r="GH18" t="e">
        <f>AND(#REF!,"AAAAAF9/Xr0=")</f>
        <v>#REF!</v>
      </c>
      <c r="GI18" t="e">
        <f>AND(#REF!,"AAAAAF9/Xr4=")</f>
        <v>#REF!</v>
      </c>
      <c r="GJ18" t="e">
        <f>AND(#REF!,"AAAAAF9/Xr8=")</f>
        <v>#REF!</v>
      </c>
      <c r="GK18" t="e">
        <f>AND(#REF!,"AAAAAF9/XsA=")</f>
        <v>#REF!</v>
      </c>
      <c r="GL18" t="e">
        <f>AND(#REF!,"AAAAAF9/XsE=")</f>
        <v>#REF!</v>
      </c>
      <c r="GM18" t="e">
        <f>AND(#REF!,"AAAAAF9/XsI=")</f>
        <v>#REF!</v>
      </c>
      <c r="GN18" t="e">
        <f>IF(#REF!,"AAAAAF9/XsM=",0)</f>
        <v>#REF!</v>
      </c>
      <c r="GO18" t="e">
        <f>AND(#REF!,"AAAAAF9/XsQ=")</f>
        <v>#REF!</v>
      </c>
      <c r="GP18" t="e">
        <f>AND(#REF!,"AAAAAF9/XsU=")</f>
        <v>#REF!</v>
      </c>
      <c r="GQ18" t="e">
        <f>AND(#REF!,"AAAAAF9/XsY=")</f>
        <v>#REF!</v>
      </c>
      <c r="GR18" t="e">
        <f>AND(#REF!,"AAAAAF9/Xsc=")</f>
        <v>#REF!</v>
      </c>
      <c r="GS18" t="e">
        <f>AND(#REF!,"AAAAAF9/Xsg=")</f>
        <v>#REF!</v>
      </c>
      <c r="GT18" t="e">
        <f>AND(#REF!,"AAAAAF9/Xsk=")</f>
        <v>#REF!</v>
      </c>
      <c r="GU18" t="e">
        <f>AND(#REF!,"AAAAAF9/Xso=")</f>
        <v>#REF!</v>
      </c>
      <c r="GV18" t="e">
        <f>AND(#REF!,"AAAAAF9/Xss=")</f>
        <v>#REF!</v>
      </c>
      <c r="GW18" t="e">
        <f>AND(#REF!,"AAAAAF9/Xsw=")</f>
        <v>#REF!</v>
      </c>
      <c r="GX18" t="e">
        <f>AND(#REF!,"AAAAAF9/Xs0=")</f>
        <v>#REF!</v>
      </c>
      <c r="GY18" t="e">
        <f>AND(#REF!,"AAAAAF9/Xs4=")</f>
        <v>#REF!</v>
      </c>
      <c r="GZ18" t="e">
        <f>IF(#REF!,"AAAAAF9/Xs8=",0)</f>
        <v>#REF!</v>
      </c>
      <c r="HA18" t="e">
        <f>AND(#REF!,"AAAAAF9/XtA=")</f>
        <v>#REF!</v>
      </c>
      <c r="HB18" t="e">
        <f>AND(#REF!,"AAAAAF9/XtE=")</f>
        <v>#REF!</v>
      </c>
      <c r="HC18" t="e">
        <f>AND(#REF!,"AAAAAF9/XtI=")</f>
        <v>#REF!</v>
      </c>
      <c r="HD18" t="e">
        <f>AND(#REF!,"AAAAAF9/XtM=")</f>
        <v>#REF!</v>
      </c>
      <c r="HE18" t="e">
        <f>AND(#REF!,"AAAAAF9/XtQ=")</f>
        <v>#REF!</v>
      </c>
      <c r="HF18" t="e">
        <f>AND(#REF!,"AAAAAF9/XtU=")</f>
        <v>#REF!</v>
      </c>
      <c r="HG18" t="e">
        <f>AND(#REF!,"AAAAAF9/XtY=")</f>
        <v>#REF!</v>
      </c>
      <c r="HH18" t="e">
        <f>AND(#REF!,"AAAAAF9/Xtc=")</f>
        <v>#REF!</v>
      </c>
      <c r="HI18" t="e">
        <f>AND(#REF!,"AAAAAF9/Xtg=")</f>
        <v>#REF!</v>
      </c>
      <c r="HJ18" t="e">
        <f>AND(#REF!,"AAAAAF9/Xtk=")</f>
        <v>#REF!</v>
      </c>
      <c r="HK18" t="e">
        <f>AND(#REF!,"AAAAAF9/Xto=")</f>
        <v>#REF!</v>
      </c>
      <c r="HL18" t="e">
        <f>IF(#REF!,"AAAAAF9/Xts=",0)</f>
        <v>#REF!</v>
      </c>
      <c r="HM18" t="e">
        <f>AND(#REF!,"AAAAAF9/Xtw=")</f>
        <v>#REF!</v>
      </c>
      <c r="HN18" t="e">
        <f>AND(#REF!,"AAAAAF9/Xt0=")</f>
        <v>#REF!</v>
      </c>
      <c r="HO18" t="e">
        <f>AND(#REF!,"AAAAAF9/Xt4=")</f>
        <v>#REF!</v>
      </c>
      <c r="HP18" t="e">
        <f>AND(#REF!,"AAAAAF9/Xt8=")</f>
        <v>#REF!</v>
      </c>
      <c r="HQ18" t="e">
        <f>AND(#REF!,"AAAAAF9/XuA=")</f>
        <v>#REF!</v>
      </c>
      <c r="HR18" t="e">
        <f>AND(#REF!,"AAAAAF9/XuE=")</f>
        <v>#REF!</v>
      </c>
      <c r="HS18" t="e">
        <f>AND(#REF!,"AAAAAF9/XuI=")</f>
        <v>#REF!</v>
      </c>
      <c r="HT18" t="e">
        <f>AND(#REF!,"AAAAAF9/XuM=")</f>
        <v>#REF!</v>
      </c>
      <c r="HU18" t="e">
        <f>AND(#REF!,"AAAAAF9/XuQ=")</f>
        <v>#REF!</v>
      </c>
      <c r="HV18" t="e">
        <f>AND(#REF!,"AAAAAF9/XuU=")</f>
        <v>#REF!</v>
      </c>
      <c r="HW18" t="e">
        <f>AND(#REF!,"AAAAAF9/XuY=")</f>
        <v>#REF!</v>
      </c>
      <c r="HX18" t="e">
        <f>IF(#REF!,"AAAAAF9/Xuc=",0)</f>
        <v>#REF!</v>
      </c>
      <c r="HY18" t="e">
        <f>AND(#REF!,"AAAAAF9/Xug=")</f>
        <v>#REF!</v>
      </c>
      <c r="HZ18" t="e">
        <f>AND(#REF!,"AAAAAF9/Xuk=")</f>
        <v>#REF!</v>
      </c>
      <c r="IA18" t="e">
        <f>AND(#REF!,"AAAAAF9/Xuo=")</f>
        <v>#REF!</v>
      </c>
      <c r="IB18" t="e">
        <f>AND(#REF!,"AAAAAF9/Xus=")</f>
        <v>#REF!</v>
      </c>
      <c r="IC18" t="e">
        <f>AND(#REF!,"AAAAAF9/Xuw=")</f>
        <v>#REF!</v>
      </c>
      <c r="ID18" t="e">
        <f>AND(#REF!,"AAAAAF9/Xu0=")</f>
        <v>#REF!</v>
      </c>
      <c r="IE18" t="e">
        <f>AND(#REF!,"AAAAAF9/Xu4=")</f>
        <v>#REF!</v>
      </c>
      <c r="IF18" t="e">
        <f>AND(#REF!,"AAAAAF9/Xu8=")</f>
        <v>#REF!</v>
      </c>
      <c r="IG18" t="e">
        <f>AND(#REF!,"AAAAAF9/XvA=")</f>
        <v>#REF!</v>
      </c>
      <c r="IH18" t="e">
        <f>AND(#REF!,"AAAAAF9/XvE=")</f>
        <v>#REF!</v>
      </c>
      <c r="II18" t="e">
        <f>AND(#REF!,"AAAAAF9/XvI=")</f>
        <v>#REF!</v>
      </c>
      <c r="IJ18" t="e">
        <f>IF(#REF!,"AAAAAF9/XvM=",0)</f>
        <v>#REF!</v>
      </c>
      <c r="IK18" t="e">
        <f>AND(#REF!,"AAAAAF9/XvQ=")</f>
        <v>#REF!</v>
      </c>
      <c r="IL18" t="e">
        <f>AND(#REF!,"AAAAAF9/XvU=")</f>
        <v>#REF!</v>
      </c>
      <c r="IM18" t="e">
        <f>AND(#REF!,"AAAAAF9/XvY=")</f>
        <v>#REF!</v>
      </c>
      <c r="IN18" t="e">
        <f>AND(#REF!,"AAAAAF9/Xvc=")</f>
        <v>#REF!</v>
      </c>
      <c r="IO18" t="e">
        <f>AND(#REF!,"AAAAAF9/Xvg=")</f>
        <v>#REF!</v>
      </c>
      <c r="IP18" t="e">
        <f>AND(#REF!,"AAAAAF9/Xvk=")</f>
        <v>#REF!</v>
      </c>
      <c r="IQ18" t="e">
        <f>AND(#REF!,"AAAAAF9/Xvo=")</f>
        <v>#REF!</v>
      </c>
      <c r="IR18" t="e">
        <f>AND(#REF!,"AAAAAF9/Xvs=")</f>
        <v>#REF!</v>
      </c>
      <c r="IS18" t="e">
        <f>AND(#REF!,"AAAAAF9/Xvw=")</f>
        <v>#REF!</v>
      </c>
      <c r="IT18" t="e">
        <f>AND(#REF!,"AAAAAF9/Xv0=")</f>
        <v>#REF!</v>
      </c>
      <c r="IU18" t="e">
        <f>AND(#REF!,"AAAAAF9/Xv4=")</f>
        <v>#REF!</v>
      </c>
      <c r="IV18" t="e">
        <f>IF(#REF!,"AAAAAF9/Xv8=",0)</f>
        <v>#REF!</v>
      </c>
    </row>
    <row r="19" spans="1:256" x14ac:dyDescent="0.2">
      <c r="A19" t="e">
        <f>AND(#REF!,"AAAAAH/+uwA=")</f>
        <v>#REF!</v>
      </c>
      <c r="B19" t="e">
        <f>AND(#REF!,"AAAAAH/+uwE=")</f>
        <v>#REF!</v>
      </c>
      <c r="C19" t="e">
        <f>AND(#REF!,"AAAAAH/+uwI=")</f>
        <v>#REF!</v>
      </c>
      <c r="D19" t="e">
        <f>AND(#REF!,"AAAAAH/+uwM=")</f>
        <v>#REF!</v>
      </c>
      <c r="E19" t="e">
        <f>AND(#REF!,"AAAAAH/+uwQ=")</f>
        <v>#REF!</v>
      </c>
      <c r="F19" t="e">
        <f>AND(#REF!,"AAAAAH/+uwU=")</f>
        <v>#REF!</v>
      </c>
      <c r="G19" t="e">
        <f>AND(#REF!,"AAAAAH/+uwY=")</f>
        <v>#REF!</v>
      </c>
      <c r="H19" t="e">
        <f>AND(#REF!,"AAAAAH/+uwc=")</f>
        <v>#REF!</v>
      </c>
      <c r="I19" t="e">
        <f>AND(#REF!,"AAAAAH/+uwg=")</f>
        <v>#REF!</v>
      </c>
      <c r="J19" t="e">
        <f>AND(#REF!,"AAAAAH/+uwk=")</f>
        <v>#REF!</v>
      </c>
      <c r="K19" t="e">
        <f>AND(#REF!,"AAAAAH/+uwo=")</f>
        <v>#REF!</v>
      </c>
      <c r="L19" t="e">
        <f>IF(#REF!,"AAAAAH/+uws=",0)</f>
        <v>#REF!</v>
      </c>
      <c r="M19" t="e">
        <f>AND(#REF!,"AAAAAH/+uww=")</f>
        <v>#REF!</v>
      </c>
      <c r="N19" t="e">
        <f>AND(#REF!,"AAAAAH/+uw0=")</f>
        <v>#REF!</v>
      </c>
      <c r="O19" t="e">
        <f>AND(#REF!,"AAAAAH/+uw4=")</f>
        <v>#REF!</v>
      </c>
      <c r="P19" t="e">
        <f>AND(#REF!,"AAAAAH/+uw8=")</f>
        <v>#REF!</v>
      </c>
      <c r="Q19" t="e">
        <f>AND(#REF!,"AAAAAH/+uxA=")</f>
        <v>#REF!</v>
      </c>
      <c r="R19" t="e">
        <f>AND(#REF!,"AAAAAH/+uxE=")</f>
        <v>#REF!</v>
      </c>
      <c r="S19" t="e">
        <f>AND(#REF!,"AAAAAH/+uxI=")</f>
        <v>#REF!</v>
      </c>
      <c r="T19" t="e">
        <f>AND(#REF!,"AAAAAH/+uxM=")</f>
        <v>#REF!</v>
      </c>
      <c r="U19" t="e">
        <f>AND(#REF!,"AAAAAH/+uxQ=")</f>
        <v>#REF!</v>
      </c>
      <c r="V19" t="e">
        <f>AND(#REF!,"AAAAAH/+uxU=")</f>
        <v>#REF!</v>
      </c>
      <c r="W19" t="e">
        <f>AND(#REF!,"AAAAAH/+uxY=")</f>
        <v>#REF!</v>
      </c>
      <c r="X19" t="e">
        <f>IF(#REF!,"AAAAAH/+uxc=",0)</f>
        <v>#REF!</v>
      </c>
      <c r="Y19" t="e">
        <f>AND(#REF!,"AAAAAH/+uxg=")</f>
        <v>#REF!</v>
      </c>
      <c r="Z19" t="e">
        <f>AND(#REF!,"AAAAAH/+uxk=")</f>
        <v>#REF!</v>
      </c>
      <c r="AA19" t="e">
        <f>AND(#REF!,"AAAAAH/+uxo=")</f>
        <v>#REF!</v>
      </c>
      <c r="AB19" t="e">
        <f>AND(#REF!,"AAAAAH/+uxs=")</f>
        <v>#REF!</v>
      </c>
      <c r="AC19" t="e">
        <f>AND(#REF!,"AAAAAH/+uxw=")</f>
        <v>#REF!</v>
      </c>
      <c r="AD19" t="e">
        <f>AND(#REF!,"AAAAAH/+ux0=")</f>
        <v>#REF!</v>
      </c>
      <c r="AE19" t="e">
        <f>AND(#REF!,"AAAAAH/+ux4=")</f>
        <v>#REF!</v>
      </c>
      <c r="AF19" t="e">
        <f>AND(#REF!,"AAAAAH/+ux8=")</f>
        <v>#REF!</v>
      </c>
      <c r="AG19" t="e">
        <f>AND(#REF!,"AAAAAH/+uyA=")</f>
        <v>#REF!</v>
      </c>
      <c r="AH19" t="e">
        <f>AND(#REF!,"AAAAAH/+uyE=")</f>
        <v>#REF!</v>
      </c>
      <c r="AI19" t="e">
        <f>AND(#REF!,"AAAAAH/+uyI=")</f>
        <v>#REF!</v>
      </c>
      <c r="AJ19" t="e">
        <f>IF(#REF!,"AAAAAH/+uyM=",0)</f>
        <v>#REF!</v>
      </c>
      <c r="AK19" t="e">
        <f>AND(#REF!,"AAAAAH/+uyQ=")</f>
        <v>#REF!</v>
      </c>
      <c r="AL19" t="e">
        <f>AND(#REF!,"AAAAAH/+uyU=")</f>
        <v>#REF!</v>
      </c>
      <c r="AM19" t="e">
        <f>AND(#REF!,"AAAAAH/+uyY=")</f>
        <v>#REF!</v>
      </c>
      <c r="AN19" t="e">
        <f>AND(#REF!,"AAAAAH/+uyc=")</f>
        <v>#REF!</v>
      </c>
      <c r="AO19" t="e">
        <f>AND(#REF!,"AAAAAH/+uyg=")</f>
        <v>#REF!</v>
      </c>
      <c r="AP19" t="e">
        <f>AND(#REF!,"AAAAAH/+uyk=")</f>
        <v>#REF!</v>
      </c>
      <c r="AQ19" t="e">
        <f>AND(#REF!,"AAAAAH/+uyo=")</f>
        <v>#REF!</v>
      </c>
      <c r="AR19" t="e">
        <f>AND(#REF!,"AAAAAH/+uys=")</f>
        <v>#REF!</v>
      </c>
      <c r="AS19" t="e">
        <f>AND(#REF!,"AAAAAH/+uyw=")</f>
        <v>#REF!</v>
      </c>
      <c r="AT19" t="e">
        <f>AND(#REF!,"AAAAAH/+uy0=")</f>
        <v>#REF!</v>
      </c>
      <c r="AU19" t="e">
        <f>AND(#REF!,"AAAAAH/+uy4=")</f>
        <v>#REF!</v>
      </c>
      <c r="AV19" t="e">
        <f>IF(#REF!,"AAAAAH/+uy8=",0)</f>
        <v>#REF!</v>
      </c>
      <c r="AW19" t="e">
        <f>AND(#REF!,"AAAAAH/+uzA=")</f>
        <v>#REF!</v>
      </c>
      <c r="AX19" t="e">
        <f>AND(#REF!,"AAAAAH/+uzE=")</f>
        <v>#REF!</v>
      </c>
      <c r="AY19" t="e">
        <f>AND(#REF!,"AAAAAH/+uzI=")</f>
        <v>#REF!</v>
      </c>
      <c r="AZ19" t="e">
        <f>AND(#REF!,"AAAAAH/+uzM=")</f>
        <v>#REF!</v>
      </c>
      <c r="BA19" t="e">
        <f>AND(#REF!,"AAAAAH/+uzQ=")</f>
        <v>#REF!</v>
      </c>
      <c r="BB19" t="e">
        <f>AND(#REF!,"AAAAAH/+uzU=")</f>
        <v>#REF!</v>
      </c>
      <c r="BC19" t="e">
        <f>AND(#REF!,"AAAAAH/+uzY=")</f>
        <v>#REF!</v>
      </c>
      <c r="BD19" t="e">
        <f>AND(#REF!,"AAAAAH/+uzc=")</f>
        <v>#REF!</v>
      </c>
      <c r="BE19" t="e">
        <f>AND(#REF!,"AAAAAH/+uzg=")</f>
        <v>#REF!</v>
      </c>
      <c r="BF19" t="e">
        <f>AND(#REF!,"AAAAAH/+uzk=")</f>
        <v>#REF!</v>
      </c>
      <c r="BG19" t="e">
        <f>AND(#REF!,"AAAAAH/+uzo=")</f>
        <v>#REF!</v>
      </c>
      <c r="BH19" t="e">
        <f>IF(#REF!,"AAAAAH/+uzs=",0)</f>
        <v>#REF!</v>
      </c>
      <c r="BI19" t="e">
        <f>AND(#REF!,"AAAAAH/+uzw=")</f>
        <v>#REF!</v>
      </c>
      <c r="BJ19" t="e">
        <f>AND(#REF!,"AAAAAH/+uz0=")</f>
        <v>#REF!</v>
      </c>
      <c r="BK19" t="e">
        <f>AND(#REF!,"AAAAAH/+uz4=")</f>
        <v>#REF!</v>
      </c>
      <c r="BL19" t="e">
        <f>AND(#REF!,"AAAAAH/+uz8=")</f>
        <v>#REF!</v>
      </c>
      <c r="BM19" t="e">
        <f>AND(#REF!,"AAAAAH/+u0A=")</f>
        <v>#REF!</v>
      </c>
      <c r="BN19" t="e">
        <f>AND(#REF!,"AAAAAH/+u0E=")</f>
        <v>#REF!</v>
      </c>
      <c r="BO19" t="e">
        <f>AND(#REF!,"AAAAAH/+u0I=")</f>
        <v>#REF!</v>
      </c>
      <c r="BP19" t="e">
        <f>AND(#REF!,"AAAAAH/+u0M=")</f>
        <v>#REF!</v>
      </c>
      <c r="BQ19" t="e">
        <f>AND(#REF!,"AAAAAH/+u0Q=")</f>
        <v>#REF!</v>
      </c>
      <c r="BR19" t="e">
        <f>AND(#REF!,"AAAAAH/+u0U=")</f>
        <v>#REF!</v>
      </c>
      <c r="BS19" t="e">
        <f>AND(#REF!,"AAAAAH/+u0Y=")</f>
        <v>#REF!</v>
      </c>
      <c r="BT19" t="e">
        <f>IF(#REF!,"AAAAAH/+u0c=",0)</f>
        <v>#REF!</v>
      </c>
      <c r="BU19" t="e">
        <f>AND(#REF!,"AAAAAH/+u0g=")</f>
        <v>#REF!</v>
      </c>
      <c r="BV19" t="e">
        <f>AND(#REF!,"AAAAAH/+u0k=")</f>
        <v>#REF!</v>
      </c>
      <c r="BW19" t="e">
        <f>AND(#REF!,"AAAAAH/+u0o=")</f>
        <v>#REF!</v>
      </c>
      <c r="BX19" t="e">
        <f>AND(#REF!,"AAAAAH/+u0s=")</f>
        <v>#REF!</v>
      </c>
      <c r="BY19" t="e">
        <f>AND(#REF!,"AAAAAH/+u0w=")</f>
        <v>#REF!</v>
      </c>
      <c r="BZ19" t="e">
        <f>AND(#REF!,"AAAAAH/+u00=")</f>
        <v>#REF!</v>
      </c>
      <c r="CA19" t="e">
        <f>AND(#REF!,"AAAAAH/+u04=")</f>
        <v>#REF!</v>
      </c>
      <c r="CB19" t="e">
        <f>AND(#REF!,"AAAAAH/+u08=")</f>
        <v>#REF!</v>
      </c>
      <c r="CC19" t="e">
        <f>AND(#REF!,"AAAAAH/+u1A=")</f>
        <v>#REF!</v>
      </c>
      <c r="CD19" t="e">
        <f>AND(#REF!,"AAAAAH/+u1E=")</f>
        <v>#REF!</v>
      </c>
      <c r="CE19" t="e">
        <f>AND(#REF!,"AAAAAH/+u1I=")</f>
        <v>#REF!</v>
      </c>
      <c r="CF19" t="e">
        <f>IF(#REF!,"AAAAAH/+u1M=",0)</f>
        <v>#REF!</v>
      </c>
      <c r="CG19" t="e">
        <f>AND(#REF!,"AAAAAH/+u1Q=")</f>
        <v>#REF!</v>
      </c>
      <c r="CH19" t="e">
        <f>AND(#REF!,"AAAAAH/+u1U=")</f>
        <v>#REF!</v>
      </c>
      <c r="CI19" t="e">
        <f>AND(#REF!,"AAAAAH/+u1Y=")</f>
        <v>#REF!</v>
      </c>
      <c r="CJ19" t="e">
        <f>AND(#REF!,"AAAAAH/+u1c=")</f>
        <v>#REF!</v>
      </c>
      <c r="CK19" t="e">
        <f>AND(#REF!,"AAAAAH/+u1g=")</f>
        <v>#REF!</v>
      </c>
      <c r="CL19" t="e">
        <f>AND(#REF!,"AAAAAH/+u1k=")</f>
        <v>#REF!</v>
      </c>
      <c r="CM19" t="e">
        <f>AND(#REF!,"AAAAAH/+u1o=")</f>
        <v>#REF!</v>
      </c>
      <c r="CN19" t="e">
        <f>AND(#REF!,"AAAAAH/+u1s=")</f>
        <v>#REF!</v>
      </c>
      <c r="CO19" t="e">
        <f>AND(#REF!,"AAAAAH/+u1w=")</f>
        <v>#REF!</v>
      </c>
      <c r="CP19" t="e">
        <f>AND(#REF!,"AAAAAH/+u10=")</f>
        <v>#REF!</v>
      </c>
      <c r="CQ19" t="e">
        <f>AND(#REF!,"AAAAAH/+u14=")</f>
        <v>#REF!</v>
      </c>
      <c r="CR19" t="e">
        <f>IF(#REF!,"AAAAAH/+u18=",0)</f>
        <v>#REF!</v>
      </c>
      <c r="CS19" t="e">
        <f>AND(#REF!,"AAAAAH/+u2A=")</f>
        <v>#REF!</v>
      </c>
      <c r="CT19" t="e">
        <f>AND(#REF!,"AAAAAH/+u2E=")</f>
        <v>#REF!</v>
      </c>
      <c r="CU19" t="e">
        <f>AND(#REF!,"AAAAAH/+u2I=")</f>
        <v>#REF!</v>
      </c>
      <c r="CV19" t="e">
        <f>AND(#REF!,"AAAAAH/+u2M=")</f>
        <v>#REF!</v>
      </c>
      <c r="CW19" t="e">
        <f>AND(#REF!,"AAAAAH/+u2Q=")</f>
        <v>#REF!</v>
      </c>
      <c r="CX19" t="e">
        <f>AND(#REF!,"AAAAAH/+u2U=")</f>
        <v>#REF!</v>
      </c>
      <c r="CY19" t="e">
        <f>AND(#REF!,"AAAAAH/+u2Y=")</f>
        <v>#REF!</v>
      </c>
      <c r="CZ19" t="e">
        <f>AND(#REF!,"AAAAAH/+u2c=")</f>
        <v>#REF!</v>
      </c>
      <c r="DA19" t="e">
        <f>AND(#REF!,"AAAAAH/+u2g=")</f>
        <v>#REF!</v>
      </c>
      <c r="DB19" t="e">
        <f>AND(#REF!,"AAAAAH/+u2k=")</f>
        <v>#REF!</v>
      </c>
      <c r="DC19" t="e">
        <f>AND(#REF!,"AAAAAH/+u2o=")</f>
        <v>#REF!</v>
      </c>
      <c r="DD19" t="e">
        <f>IF(#REF!,"AAAAAH/+u2s=",0)</f>
        <v>#REF!</v>
      </c>
      <c r="DE19" t="e">
        <f>AND(#REF!,"AAAAAH/+u2w=")</f>
        <v>#REF!</v>
      </c>
      <c r="DF19" t="e">
        <f>AND(#REF!,"AAAAAH/+u20=")</f>
        <v>#REF!</v>
      </c>
      <c r="DG19" t="e">
        <f>AND(#REF!,"AAAAAH/+u24=")</f>
        <v>#REF!</v>
      </c>
      <c r="DH19" t="e">
        <f>AND(#REF!,"AAAAAH/+u28=")</f>
        <v>#REF!</v>
      </c>
      <c r="DI19" t="e">
        <f>AND(#REF!,"AAAAAH/+u3A=")</f>
        <v>#REF!</v>
      </c>
      <c r="DJ19" t="e">
        <f>AND(#REF!,"AAAAAH/+u3E=")</f>
        <v>#REF!</v>
      </c>
      <c r="DK19" t="e">
        <f>AND(#REF!,"AAAAAH/+u3I=")</f>
        <v>#REF!</v>
      </c>
      <c r="DL19" t="e">
        <f>AND(#REF!,"AAAAAH/+u3M=")</f>
        <v>#REF!</v>
      </c>
      <c r="DM19" t="e">
        <f>AND(#REF!,"AAAAAH/+u3Q=")</f>
        <v>#REF!</v>
      </c>
      <c r="DN19" t="e">
        <f>AND(#REF!,"AAAAAH/+u3U=")</f>
        <v>#REF!</v>
      </c>
      <c r="DO19" t="e">
        <f>AND(#REF!,"AAAAAH/+u3Y=")</f>
        <v>#REF!</v>
      </c>
      <c r="DP19" t="e">
        <f>IF(#REF!,"AAAAAH/+u3c=",0)</f>
        <v>#REF!</v>
      </c>
      <c r="DQ19" t="e">
        <f>AND(#REF!,"AAAAAH/+u3g=")</f>
        <v>#REF!</v>
      </c>
      <c r="DR19" t="e">
        <f>AND(#REF!,"AAAAAH/+u3k=")</f>
        <v>#REF!</v>
      </c>
      <c r="DS19" t="e">
        <f>AND(#REF!,"AAAAAH/+u3o=")</f>
        <v>#REF!</v>
      </c>
      <c r="DT19" t="e">
        <f>AND(#REF!,"AAAAAH/+u3s=")</f>
        <v>#REF!</v>
      </c>
      <c r="DU19" t="e">
        <f>AND(#REF!,"AAAAAH/+u3w=")</f>
        <v>#REF!</v>
      </c>
      <c r="DV19" t="e">
        <f>AND(#REF!,"AAAAAH/+u30=")</f>
        <v>#REF!</v>
      </c>
      <c r="DW19" t="e">
        <f>AND(#REF!,"AAAAAH/+u34=")</f>
        <v>#REF!</v>
      </c>
      <c r="DX19" t="e">
        <f>AND(#REF!,"AAAAAH/+u38=")</f>
        <v>#REF!</v>
      </c>
      <c r="DY19" t="e">
        <f>AND(#REF!,"AAAAAH/+u4A=")</f>
        <v>#REF!</v>
      </c>
      <c r="DZ19" t="e">
        <f>AND(#REF!,"AAAAAH/+u4E=")</f>
        <v>#REF!</v>
      </c>
      <c r="EA19" t="e">
        <f>AND(#REF!,"AAAAAH/+u4I=")</f>
        <v>#REF!</v>
      </c>
      <c r="EB19" t="e">
        <f>IF(#REF!,"AAAAAH/+u4M=",0)</f>
        <v>#REF!</v>
      </c>
      <c r="EC19" t="e">
        <f>AND(#REF!,"AAAAAH/+u4Q=")</f>
        <v>#REF!</v>
      </c>
      <c r="ED19" t="e">
        <f>AND(#REF!,"AAAAAH/+u4U=")</f>
        <v>#REF!</v>
      </c>
      <c r="EE19" t="e">
        <f>AND(#REF!,"AAAAAH/+u4Y=")</f>
        <v>#REF!</v>
      </c>
      <c r="EF19" t="e">
        <f>IF(#REF!,"AAAAAH/+u4c=",0)</f>
        <v>#REF!</v>
      </c>
      <c r="EG19" t="e">
        <f>AND(#REF!,"AAAAAH/+u4g=")</f>
        <v>#REF!</v>
      </c>
      <c r="EH19" t="e">
        <f>AND(#REF!,"AAAAAH/+u4k=")</f>
        <v>#REF!</v>
      </c>
      <c r="EI19" t="e">
        <f>AND(#REF!,"AAAAAH/+u4o=")</f>
        <v>#REF!</v>
      </c>
      <c r="EJ19" t="e">
        <f>IF(#REF!,"AAAAAH/+u4s=",0)</f>
        <v>#REF!</v>
      </c>
      <c r="EK19" t="e">
        <f>AND(#REF!,"AAAAAH/+u4w=")</f>
        <v>#REF!</v>
      </c>
      <c r="EL19" t="e">
        <f>AND(#REF!,"AAAAAH/+u40=")</f>
        <v>#REF!</v>
      </c>
      <c r="EM19" t="e">
        <f>AND(#REF!,"AAAAAH/+u44=")</f>
        <v>#REF!</v>
      </c>
      <c r="EN19" t="e">
        <f>IF(#REF!,"AAAAAH/+u48=",0)</f>
        <v>#REF!</v>
      </c>
      <c r="EO19" t="e">
        <f>IF(#REF!,"AAAAAH/+u5A=",0)</f>
        <v>#REF!</v>
      </c>
      <c r="EP19" t="e">
        <f>IF(#REF!,"AAAAAH/+u5E=",0)</f>
        <v>#REF!</v>
      </c>
      <c r="EQ19" t="e">
        <f>IF(#REF!,"AAAAAH/+u5I=",0)</f>
        <v>#REF!</v>
      </c>
      <c r="ER19" t="e">
        <f>IF(#REF!,"AAAAAH/+u5M=",0)</f>
        <v>#REF!</v>
      </c>
      <c r="ES19" t="e">
        <f>IF(#REF!,"AAAAAH/+u5Q=",0)</f>
        <v>#REF!</v>
      </c>
      <c r="ET19" t="e">
        <f>IF(#REF!,"AAAAAH/+u5U=",0)</f>
        <v>#REF!</v>
      </c>
      <c r="EU19" t="e">
        <f>IF(#REF!,"AAAAAH/+u5Y=",0)</f>
        <v>#REF!</v>
      </c>
      <c r="EV19" t="e">
        <f>IF(#REF!,"AAAAAH/+u5c=",0)</f>
        <v>#REF!</v>
      </c>
      <c r="EW19" t="e">
        <f>IF(#REF!,"AAAAAH/+u5g=",0)</f>
        <v>#REF!</v>
      </c>
      <c r="EX19" t="e">
        <f>IF(#REF!,"AAAAAH/+u5k=",0)</f>
        <v>#REF!</v>
      </c>
      <c r="EY19" t="e">
        <f>IF(#REF!,"AAAAAH/+u5o=",0)</f>
        <v>#REF!</v>
      </c>
      <c r="EZ19" t="e">
        <f>AND(#REF!,"AAAAAH/+u5s=")</f>
        <v>#REF!</v>
      </c>
      <c r="FA19" t="e">
        <f>AND(#REF!,"AAAAAH/+u5w=")</f>
        <v>#REF!</v>
      </c>
      <c r="FB19" t="e">
        <f>AND(#REF!,"AAAAAH/+u50=")</f>
        <v>#REF!</v>
      </c>
      <c r="FC19" t="e">
        <f>IF(#REF!,"AAAAAH/+u54=",0)</f>
        <v>#REF!</v>
      </c>
      <c r="FD19" t="e">
        <f>AND(#REF!,"AAAAAH/+u58=")</f>
        <v>#REF!</v>
      </c>
      <c r="FE19" t="e">
        <f>AND(#REF!,"AAAAAH/+u6A=")</f>
        <v>#REF!</v>
      </c>
      <c r="FF19" t="e">
        <f>AND(#REF!,"AAAAAH/+u6E=")</f>
        <v>#REF!</v>
      </c>
      <c r="FG19" t="e">
        <f>IF(#REF!,"AAAAAH/+u6I=",0)</f>
        <v>#REF!</v>
      </c>
      <c r="FH19" t="e">
        <f>AND(#REF!,"AAAAAH/+u6M=")</f>
        <v>#REF!</v>
      </c>
      <c r="FI19" t="e">
        <f>AND(#REF!,"AAAAAH/+u6Q=")</f>
        <v>#REF!</v>
      </c>
      <c r="FJ19" t="e">
        <f>AND(#REF!,"AAAAAH/+u6U=")</f>
        <v>#REF!</v>
      </c>
      <c r="FK19" t="e">
        <f>IF(#REF!,"AAAAAH/+u6Y=",0)</f>
        <v>#REF!</v>
      </c>
      <c r="FL19" t="e">
        <f>AND(#REF!,"AAAAAH/+u6c=")</f>
        <v>#REF!</v>
      </c>
      <c r="FM19" t="e">
        <f>AND(#REF!,"AAAAAH/+u6g=")</f>
        <v>#REF!</v>
      </c>
      <c r="FN19" t="e">
        <f>AND(#REF!,"AAAAAH/+u6k=")</f>
        <v>#REF!</v>
      </c>
      <c r="FO19" t="e">
        <f>IF(#REF!,"AAAAAH/+u6o=",0)</f>
        <v>#REF!</v>
      </c>
      <c r="FP19" t="e">
        <f>AND(#REF!,"AAAAAH/+u6s=")</f>
        <v>#REF!</v>
      </c>
      <c r="FQ19" t="e">
        <f>AND(#REF!,"AAAAAH/+u6w=")</f>
        <v>#REF!</v>
      </c>
      <c r="FR19" t="e">
        <f>AND(#REF!,"AAAAAH/+u60=")</f>
        <v>#REF!</v>
      </c>
      <c r="FS19" t="e">
        <f>IF(#REF!,"AAAAAH/+u64=",0)</f>
        <v>#REF!</v>
      </c>
      <c r="FT19" t="e">
        <f>AND(#REF!,"AAAAAH/+u68=")</f>
        <v>#REF!</v>
      </c>
      <c r="FU19" t="e">
        <f>AND(#REF!,"AAAAAH/+u7A=")</f>
        <v>#REF!</v>
      </c>
      <c r="FV19" t="e">
        <f>AND(#REF!,"AAAAAH/+u7E=")</f>
        <v>#REF!</v>
      </c>
      <c r="FW19" t="e">
        <f>IF(#REF!,"AAAAAH/+u7I=",0)</f>
        <v>#REF!</v>
      </c>
      <c r="FX19" t="e">
        <f>AND(#REF!,"AAAAAH/+u7M=")</f>
        <v>#REF!</v>
      </c>
      <c r="FY19" t="e">
        <f>AND(#REF!,"AAAAAH/+u7Q=")</f>
        <v>#REF!</v>
      </c>
      <c r="FZ19" t="e">
        <f>AND(#REF!,"AAAAAH/+u7U=")</f>
        <v>#REF!</v>
      </c>
      <c r="GA19" t="e">
        <f>IF(#REF!,"AAAAAH/+u7Y=",0)</f>
        <v>#REF!</v>
      </c>
      <c r="GB19" t="e">
        <f>AND(#REF!,"AAAAAH/+u7c=")</f>
        <v>#REF!</v>
      </c>
      <c r="GC19" t="e">
        <f>AND(#REF!,"AAAAAH/+u7g=")</f>
        <v>#REF!</v>
      </c>
      <c r="GD19" t="e">
        <f>AND(#REF!,"AAAAAH/+u7k=")</f>
        <v>#REF!</v>
      </c>
      <c r="GE19" t="e">
        <f>IF(#REF!,"AAAAAH/+u7o=",0)</f>
        <v>#REF!</v>
      </c>
      <c r="GF19" t="e">
        <f>AND(#REF!,"AAAAAH/+u7s=")</f>
        <v>#REF!</v>
      </c>
      <c r="GG19" t="e">
        <f>AND(#REF!,"AAAAAH/+u7w=")</f>
        <v>#REF!</v>
      </c>
      <c r="GH19" t="e">
        <f>IF(#REF!,"AAAAAH/+u70=",0)</f>
        <v>#REF!</v>
      </c>
      <c r="GI19" t="e">
        <f>AND(#REF!,"AAAAAH/+u74=")</f>
        <v>#REF!</v>
      </c>
      <c r="GJ19" t="e">
        <f>AND(#REF!,"AAAAAH/+u78=")</f>
        <v>#REF!</v>
      </c>
      <c r="GK19" t="e">
        <f>IF(#REF!,"AAAAAH/+u8A=",0)</f>
        <v>#REF!</v>
      </c>
      <c r="GL19" t="e">
        <f>AND(#REF!,"AAAAAH/+u8E=")</f>
        <v>#REF!</v>
      </c>
      <c r="GM19" t="e">
        <f>AND(#REF!,"AAAAAH/+u8I=")</f>
        <v>#REF!</v>
      </c>
      <c r="GN19" t="e">
        <f>IF(#REF!,"AAAAAH/+u8M=",0)</f>
        <v>#REF!</v>
      </c>
      <c r="GO19" t="e">
        <f>AND(#REF!,"AAAAAH/+u8Q=")</f>
        <v>#REF!</v>
      </c>
      <c r="GP19" t="e">
        <f>AND(#REF!,"AAAAAH/+u8U=")</f>
        <v>#REF!</v>
      </c>
      <c r="GQ19" t="e">
        <f>IF(#REF!,"AAAAAH/+u8Y=",0)</f>
        <v>#REF!</v>
      </c>
      <c r="GR19" t="e">
        <f>AND(#REF!,"AAAAAH/+u8c=")</f>
        <v>#REF!</v>
      </c>
      <c r="GS19" t="e">
        <f>AND(#REF!,"AAAAAH/+u8g=")</f>
        <v>#REF!</v>
      </c>
      <c r="GT19" t="e">
        <f>IF(#REF!,"AAAAAH/+u8k=",0)</f>
        <v>#REF!</v>
      </c>
      <c r="GU19" t="e">
        <f>AND(#REF!,"AAAAAH/+u8o=")</f>
        <v>#REF!</v>
      </c>
      <c r="GV19" t="e">
        <f>AND(#REF!,"AAAAAH/+u8s=")</f>
        <v>#REF!</v>
      </c>
      <c r="GW19" t="e">
        <f>IF(#REF!,"AAAAAH/+u8w=",0)</f>
        <v>#REF!</v>
      </c>
      <c r="GX19" t="e">
        <f>AND(#REF!,"AAAAAH/+u80=")</f>
        <v>#REF!</v>
      </c>
      <c r="GY19" t="e">
        <f>AND(#REF!,"AAAAAH/+u84=")</f>
        <v>#REF!</v>
      </c>
      <c r="GZ19" t="e">
        <f>IF(#REF!,"AAAAAH/+u88=",0)</f>
        <v>#REF!</v>
      </c>
      <c r="HA19" t="e">
        <f>AND(#REF!,"AAAAAH/+u9A=")</f>
        <v>#REF!</v>
      </c>
      <c r="HB19" t="e">
        <f>AND(#REF!,"AAAAAH/+u9E=")</f>
        <v>#REF!</v>
      </c>
      <c r="HC19" t="e">
        <f>IF(#REF!,"AAAAAH/+u9I=",0)</f>
        <v>#REF!</v>
      </c>
      <c r="HD19" t="e">
        <f>AND(#REF!,"AAAAAH/+u9M=")</f>
        <v>#REF!</v>
      </c>
      <c r="HE19" t="e">
        <f>AND(#REF!,"AAAAAH/+u9Q=")</f>
        <v>#REF!</v>
      </c>
      <c r="HF19" t="e">
        <f>IF(#REF!,"AAAAAH/+u9U=",0)</f>
        <v>#REF!</v>
      </c>
      <c r="HG19" t="e">
        <f>AND(#REF!,"AAAAAH/+u9Y=")</f>
        <v>#REF!</v>
      </c>
      <c r="HH19" t="e">
        <f>AND(#REF!,"AAAAAH/+u9c=")</f>
        <v>#REF!</v>
      </c>
      <c r="HI19" t="e">
        <f>IF(#REF!,"AAAAAH/+u9g=",0)</f>
        <v>#REF!</v>
      </c>
      <c r="HJ19" t="e">
        <f>AND(#REF!,"AAAAAH/+u9k=")</f>
        <v>#REF!</v>
      </c>
      <c r="HK19" t="e">
        <f>AND(#REF!,"AAAAAH/+u9o=")</f>
        <v>#REF!</v>
      </c>
      <c r="HL19" t="e">
        <f>IF(#REF!,"AAAAAH/+u9s=",0)</f>
        <v>#REF!</v>
      </c>
      <c r="HM19" t="e">
        <f>AND(#REF!,"AAAAAH/+u9w=")</f>
        <v>#REF!</v>
      </c>
      <c r="HN19" t="e">
        <f>AND(#REF!,"AAAAAH/+u90=")</f>
        <v>#REF!</v>
      </c>
      <c r="HO19" t="e">
        <f>IF(#REF!,"AAAAAH/+u94=",0)</f>
        <v>#REF!</v>
      </c>
      <c r="HP19" t="e">
        <f>AND(#REF!,"AAAAAH/+u98=")</f>
        <v>#REF!</v>
      </c>
      <c r="HQ19" t="e">
        <f>AND(#REF!,"AAAAAH/+u+A=")</f>
        <v>#REF!</v>
      </c>
      <c r="HR19" t="e">
        <f>IF(#REF!,"AAAAAH/+u+E=",0)</f>
        <v>#REF!</v>
      </c>
      <c r="HS19" t="e">
        <f>AND(#REF!,"AAAAAH/+u+I=")</f>
        <v>#REF!</v>
      </c>
      <c r="HT19" t="e">
        <f>AND(#REF!,"AAAAAH/+u+M=")</f>
        <v>#REF!</v>
      </c>
      <c r="HU19" t="e">
        <f>IF(#REF!,"AAAAAH/+u+Q=",0)</f>
        <v>#REF!</v>
      </c>
      <c r="HV19" t="e">
        <f>AND(#REF!,"AAAAAH/+u+U=")</f>
        <v>#REF!</v>
      </c>
      <c r="HW19" t="e">
        <f>AND(#REF!,"AAAAAH/+u+Y=")</f>
        <v>#REF!</v>
      </c>
      <c r="HX19" t="e">
        <f>IF(#REF!,"AAAAAH/+u+c=",0)</f>
        <v>#REF!</v>
      </c>
      <c r="HY19" t="e">
        <f>AND(#REF!,"AAAAAH/+u+g=")</f>
        <v>#REF!</v>
      </c>
      <c r="HZ19" t="e">
        <f>AND(#REF!,"AAAAAH/+u+k=")</f>
        <v>#REF!</v>
      </c>
      <c r="IA19" t="e">
        <f>IF(#REF!,"AAAAAH/+u+o=",0)</f>
        <v>#REF!</v>
      </c>
      <c r="IB19" t="e">
        <f>AND(#REF!,"AAAAAH/+u+s=")</f>
        <v>#REF!</v>
      </c>
      <c r="IC19" t="e">
        <f>AND(#REF!,"AAAAAH/+u+w=")</f>
        <v>#REF!</v>
      </c>
      <c r="ID19" t="e">
        <f>IF(#REF!,"AAAAAH/+u+0=",0)</f>
        <v>#REF!</v>
      </c>
      <c r="IE19" t="e">
        <f>AND(#REF!,"AAAAAH/+u+4=")</f>
        <v>#REF!</v>
      </c>
      <c r="IF19" t="e">
        <f>AND(#REF!,"AAAAAH/+u+8=")</f>
        <v>#REF!</v>
      </c>
      <c r="IG19" t="e">
        <f>IF(#REF!,"AAAAAH/+u/A=",0)</f>
        <v>#REF!</v>
      </c>
      <c r="IH19" t="e">
        <f>AND(#REF!,"AAAAAH/+u/E=")</f>
        <v>#REF!</v>
      </c>
      <c r="II19" t="e">
        <f>AND(#REF!,"AAAAAH/+u/I=")</f>
        <v>#REF!</v>
      </c>
      <c r="IJ19" t="e">
        <f>IF(#REF!,"AAAAAH/+u/M=",0)</f>
        <v>#REF!</v>
      </c>
      <c r="IK19" t="e">
        <f>AND(#REF!,"AAAAAH/+u/Q=")</f>
        <v>#REF!</v>
      </c>
      <c r="IL19" t="e">
        <f>AND(#REF!,"AAAAAH/+u/U=")</f>
        <v>#REF!</v>
      </c>
      <c r="IM19" t="e">
        <f>IF(#REF!,"AAAAAH/+u/Y=",0)</f>
        <v>#REF!</v>
      </c>
      <c r="IN19" t="e">
        <f>IF(#REF!,"AAAAAH/+u/c=",0)</f>
        <v>#REF!</v>
      </c>
      <c r="IO19" t="e">
        <f>IF(#REF!,"AAAAAH/+u/g=",0)</f>
        <v>#REF!</v>
      </c>
      <c r="IP19" t="e">
        <f>IF(#REF!,"AAAAAH/+u/k=",0)</f>
        <v>#REF!</v>
      </c>
      <c r="IQ19" t="e">
        <f>AND(#REF!,"AAAAAH/+u/o=")</f>
        <v>#REF!</v>
      </c>
      <c r="IR19" t="e">
        <f>AND(#REF!,"AAAAAH/+u/s=")</f>
        <v>#REF!</v>
      </c>
      <c r="IS19" t="e">
        <f>AND(#REF!,"AAAAAH/+u/w=")</f>
        <v>#REF!</v>
      </c>
      <c r="IT19" t="e">
        <f>AND(#REF!,"AAAAAH/+u/0=")</f>
        <v>#REF!</v>
      </c>
      <c r="IU19" t="e">
        <f>AND(#REF!,"AAAAAH/+u/4=")</f>
        <v>#REF!</v>
      </c>
      <c r="IV19" t="e">
        <f>AND(#REF!,"AAAAAH/+u/8=")</f>
        <v>#REF!</v>
      </c>
    </row>
    <row r="20" spans="1:256" x14ac:dyDescent="0.2">
      <c r="A20" t="e">
        <f>AND(#REF!,"AAAAADh/7wA=")</f>
        <v>#REF!</v>
      </c>
      <c r="B20" t="e">
        <f>AND(#REF!,"AAAAADh/7wE=")</f>
        <v>#REF!</v>
      </c>
      <c r="C20" t="e">
        <f>AND(#REF!,"AAAAADh/7wI=")</f>
        <v>#REF!</v>
      </c>
      <c r="D20" t="e">
        <f>AND(#REF!,"AAAAADh/7wM=")</f>
        <v>#REF!</v>
      </c>
      <c r="E20" t="e">
        <f>AND(#REF!,"AAAAADh/7wQ=")</f>
        <v>#REF!</v>
      </c>
      <c r="F20" t="e">
        <f>AND(#REF!,"AAAAADh/7wU=")</f>
        <v>#REF!</v>
      </c>
      <c r="G20" t="e">
        <f>AND(#REF!,"AAAAADh/7wY=")</f>
        <v>#REF!</v>
      </c>
      <c r="H20" t="e">
        <f>AND(#REF!,"AAAAADh/7wc=")</f>
        <v>#REF!</v>
      </c>
      <c r="I20" t="e">
        <f>AND(#REF!,"AAAAADh/7wg=")</f>
        <v>#REF!</v>
      </c>
      <c r="J20" t="e">
        <f>AND(#REF!,"AAAAADh/7wk=")</f>
        <v>#REF!</v>
      </c>
      <c r="K20" t="e">
        <f>AND(#REF!,"AAAAADh/7wo=")</f>
        <v>#REF!</v>
      </c>
      <c r="L20" t="e">
        <f>AND(#REF!,"AAAAADh/7ws=")</f>
        <v>#REF!</v>
      </c>
      <c r="M20" t="e">
        <f>AND(#REF!,"AAAAADh/7ww=")</f>
        <v>#REF!</v>
      </c>
      <c r="N20" t="e">
        <f>AND(#REF!,"AAAAADh/7w0=")</f>
        <v>#REF!</v>
      </c>
      <c r="O20" t="e">
        <f>AND(#REF!,"AAAAADh/7w4=")</f>
        <v>#REF!</v>
      </c>
      <c r="P20" t="e">
        <f>AND(#REF!,"AAAAADh/7w8=")</f>
        <v>#REF!</v>
      </c>
      <c r="Q20" t="e">
        <f>AND(#REF!,"AAAAADh/7xA=")</f>
        <v>#REF!</v>
      </c>
      <c r="R20" t="e">
        <f>AND(#REF!,"AAAAADh/7xE=")</f>
        <v>#REF!</v>
      </c>
      <c r="S20" t="e">
        <f>AND(#REF!,"AAAAADh/7xI=")</f>
        <v>#REF!</v>
      </c>
      <c r="T20" t="e">
        <f>AND(#REF!,"AAAAADh/7xM=")</f>
        <v>#REF!</v>
      </c>
      <c r="U20" t="e">
        <f>AND(#REF!,"AAAAADh/7xQ=")</f>
        <v>#REF!</v>
      </c>
      <c r="V20" t="e">
        <f>AND(#REF!,"AAAAADh/7xU=")</f>
        <v>#REF!</v>
      </c>
      <c r="W20" t="e">
        <f>AND(#REF!,"AAAAADh/7xY=")</f>
        <v>#REF!</v>
      </c>
      <c r="X20" t="e">
        <f>IF(#REF!,"AAAAADh/7xc=",0)</f>
        <v>#REF!</v>
      </c>
      <c r="Y20" t="e">
        <f>AND(#REF!,"AAAAADh/7xg=")</f>
        <v>#REF!</v>
      </c>
      <c r="Z20" t="e">
        <f>AND(#REF!,"AAAAADh/7xk=")</f>
        <v>#REF!</v>
      </c>
      <c r="AA20" t="e">
        <f>AND(#REF!,"AAAAADh/7xo=")</f>
        <v>#REF!</v>
      </c>
      <c r="AB20" t="e">
        <f>AND(#REF!,"AAAAADh/7xs=")</f>
        <v>#REF!</v>
      </c>
      <c r="AC20" t="e">
        <f>AND(#REF!,"AAAAADh/7xw=")</f>
        <v>#REF!</v>
      </c>
      <c r="AD20" t="e">
        <f>AND(#REF!,"AAAAADh/7x0=")</f>
        <v>#REF!</v>
      </c>
      <c r="AE20" t="e">
        <f>AND(#REF!,"AAAAADh/7x4=")</f>
        <v>#REF!</v>
      </c>
      <c r="AF20" t="e">
        <f>AND(#REF!,"AAAAADh/7x8=")</f>
        <v>#REF!</v>
      </c>
      <c r="AG20" t="e">
        <f>AND(#REF!,"AAAAADh/7yA=")</f>
        <v>#REF!</v>
      </c>
      <c r="AH20" t="e">
        <f>AND(#REF!,"AAAAADh/7yE=")</f>
        <v>#REF!</v>
      </c>
      <c r="AI20" t="e">
        <f>AND(#REF!,"AAAAADh/7yI=")</f>
        <v>#REF!</v>
      </c>
      <c r="AJ20" t="e">
        <f>AND(#REF!,"AAAAADh/7yM=")</f>
        <v>#REF!</v>
      </c>
      <c r="AK20" t="e">
        <f>AND(#REF!,"AAAAADh/7yQ=")</f>
        <v>#REF!</v>
      </c>
      <c r="AL20" t="e">
        <f>AND(#REF!,"AAAAADh/7yU=")</f>
        <v>#REF!</v>
      </c>
      <c r="AM20" t="e">
        <f>AND(#REF!,"AAAAADh/7yY=")</f>
        <v>#REF!</v>
      </c>
      <c r="AN20" t="e">
        <f>AND(#REF!,"AAAAADh/7yc=")</f>
        <v>#REF!</v>
      </c>
      <c r="AO20" t="e">
        <f>AND(#REF!,"AAAAADh/7yg=")</f>
        <v>#REF!</v>
      </c>
      <c r="AP20" t="e">
        <f>AND(#REF!,"AAAAADh/7yk=")</f>
        <v>#REF!</v>
      </c>
      <c r="AQ20" t="e">
        <f>AND(#REF!,"AAAAADh/7yo=")</f>
        <v>#REF!</v>
      </c>
      <c r="AR20" t="e">
        <f>AND(#REF!,"AAAAADh/7ys=")</f>
        <v>#REF!</v>
      </c>
      <c r="AS20" t="e">
        <f>AND(#REF!,"AAAAADh/7yw=")</f>
        <v>#REF!</v>
      </c>
      <c r="AT20" t="e">
        <f>AND(#REF!,"AAAAADh/7y0=")</f>
        <v>#REF!</v>
      </c>
      <c r="AU20" t="e">
        <f>AND(#REF!,"AAAAADh/7y4=")</f>
        <v>#REF!</v>
      </c>
      <c r="AV20" t="e">
        <f>AND(#REF!,"AAAAADh/7y8=")</f>
        <v>#REF!</v>
      </c>
      <c r="AW20" t="e">
        <f>AND(#REF!,"AAAAADh/7zA=")</f>
        <v>#REF!</v>
      </c>
      <c r="AX20" t="e">
        <f>AND(#REF!,"AAAAADh/7zE=")</f>
        <v>#REF!</v>
      </c>
      <c r="AY20" t="e">
        <f>AND(#REF!,"AAAAADh/7zI=")</f>
        <v>#REF!</v>
      </c>
      <c r="AZ20" t="e">
        <f>AND(#REF!,"AAAAADh/7zM=")</f>
        <v>#REF!</v>
      </c>
      <c r="BA20" t="e">
        <f>AND(#REF!,"AAAAADh/7zQ=")</f>
        <v>#REF!</v>
      </c>
      <c r="BB20" t="e">
        <f>IF(#REF!,"AAAAADh/7zU=",0)</f>
        <v>#REF!</v>
      </c>
      <c r="BC20" t="e">
        <f>AND(#REF!,"AAAAADh/7zY=")</f>
        <v>#REF!</v>
      </c>
      <c r="BD20" t="e">
        <f>AND(#REF!,"AAAAADh/7zc=")</f>
        <v>#REF!</v>
      </c>
      <c r="BE20" t="e">
        <f>AND(#REF!,"AAAAADh/7zg=")</f>
        <v>#REF!</v>
      </c>
      <c r="BF20" t="e">
        <f>AND(#REF!,"AAAAADh/7zk=")</f>
        <v>#REF!</v>
      </c>
      <c r="BG20" t="e">
        <f>AND(#REF!,"AAAAADh/7zo=")</f>
        <v>#REF!</v>
      </c>
      <c r="BH20" t="e">
        <f>AND(#REF!,"AAAAADh/7zs=")</f>
        <v>#REF!</v>
      </c>
      <c r="BI20" t="e">
        <f>AND(#REF!,"AAAAADh/7zw=")</f>
        <v>#REF!</v>
      </c>
      <c r="BJ20" t="e">
        <f>AND(#REF!,"AAAAADh/7z0=")</f>
        <v>#REF!</v>
      </c>
      <c r="BK20" t="e">
        <f>AND(#REF!,"AAAAADh/7z4=")</f>
        <v>#REF!</v>
      </c>
      <c r="BL20" t="e">
        <f>AND(#REF!,"AAAAADh/7z8=")</f>
        <v>#REF!</v>
      </c>
      <c r="BM20" t="e">
        <f>AND(#REF!,"AAAAADh/70A=")</f>
        <v>#REF!</v>
      </c>
      <c r="BN20" t="e">
        <f>AND(#REF!,"AAAAADh/70E=")</f>
        <v>#REF!</v>
      </c>
      <c r="BO20" t="e">
        <f>AND(#REF!,"AAAAADh/70I=")</f>
        <v>#REF!</v>
      </c>
      <c r="BP20" t="e">
        <f>AND(#REF!,"AAAAADh/70M=")</f>
        <v>#REF!</v>
      </c>
      <c r="BQ20" t="e">
        <f>AND(#REF!,"AAAAADh/70Q=")</f>
        <v>#REF!</v>
      </c>
      <c r="BR20" t="e">
        <f>AND(#REF!,"AAAAADh/70U=")</f>
        <v>#REF!</v>
      </c>
      <c r="BS20" t="e">
        <f>AND(#REF!,"AAAAADh/70Y=")</f>
        <v>#REF!</v>
      </c>
      <c r="BT20" t="e">
        <f>AND(#REF!,"AAAAADh/70c=")</f>
        <v>#REF!</v>
      </c>
      <c r="BU20" t="e">
        <f>AND(#REF!,"AAAAADh/70g=")</f>
        <v>#REF!</v>
      </c>
      <c r="BV20" t="e">
        <f>AND(#REF!,"AAAAADh/70k=")</f>
        <v>#REF!</v>
      </c>
      <c r="BW20" t="e">
        <f>AND(#REF!,"AAAAADh/70o=")</f>
        <v>#REF!</v>
      </c>
      <c r="BX20" t="e">
        <f>AND(#REF!,"AAAAADh/70s=")</f>
        <v>#REF!</v>
      </c>
      <c r="BY20" t="e">
        <f>AND(#REF!,"AAAAADh/70w=")</f>
        <v>#REF!</v>
      </c>
      <c r="BZ20" t="e">
        <f>AND(#REF!,"AAAAADh/700=")</f>
        <v>#REF!</v>
      </c>
      <c r="CA20" t="e">
        <f>AND(#REF!,"AAAAADh/704=")</f>
        <v>#REF!</v>
      </c>
      <c r="CB20" t="e">
        <f>AND(#REF!,"AAAAADh/708=")</f>
        <v>#REF!</v>
      </c>
      <c r="CC20" t="e">
        <f>AND(#REF!,"AAAAADh/71A=")</f>
        <v>#REF!</v>
      </c>
      <c r="CD20" t="e">
        <f>AND(#REF!,"AAAAADh/71E=")</f>
        <v>#REF!</v>
      </c>
      <c r="CE20" t="e">
        <f>AND(#REF!,"AAAAADh/71I=")</f>
        <v>#REF!</v>
      </c>
      <c r="CF20" t="e">
        <f>IF(#REF!,"AAAAADh/71M=",0)</f>
        <v>#REF!</v>
      </c>
      <c r="CG20" t="e">
        <f>AND(#REF!,"AAAAADh/71Q=")</f>
        <v>#REF!</v>
      </c>
      <c r="CH20" t="e">
        <f>AND(#REF!,"AAAAADh/71U=")</f>
        <v>#REF!</v>
      </c>
      <c r="CI20" t="e">
        <f>AND(#REF!,"AAAAADh/71Y=")</f>
        <v>#REF!</v>
      </c>
      <c r="CJ20" t="e">
        <f>AND(#REF!,"AAAAADh/71c=")</f>
        <v>#REF!</v>
      </c>
      <c r="CK20" t="e">
        <f>AND(#REF!,"AAAAADh/71g=")</f>
        <v>#REF!</v>
      </c>
      <c r="CL20" t="e">
        <f>AND(#REF!,"AAAAADh/71k=")</f>
        <v>#REF!</v>
      </c>
      <c r="CM20" t="e">
        <f>AND(#REF!,"AAAAADh/71o=")</f>
        <v>#REF!</v>
      </c>
      <c r="CN20" t="e">
        <f>AND(#REF!,"AAAAADh/71s=")</f>
        <v>#REF!</v>
      </c>
      <c r="CO20" t="e">
        <f>AND(#REF!,"AAAAADh/71w=")</f>
        <v>#REF!</v>
      </c>
      <c r="CP20" t="e">
        <f>AND(#REF!,"AAAAADh/710=")</f>
        <v>#REF!</v>
      </c>
      <c r="CQ20" t="e">
        <f>AND(#REF!,"AAAAADh/714=")</f>
        <v>#REF!</v>
      </c>
      <c r="CR20" t="e">
        <f>AND(#REF!,"AAAAADh/718=")</f>
        <v>#REF!</v>
      </c>
      <c r="CS20" t="e">
        <f>AND(#REF!,"AAAAADh/72A=")</f>
        <v>#REF!</v>
      </c>
      <c r="CT20" t="e">
        <f>AND(#REF!,"AAAAADh/72E=")</f>
        <v>#REF!</v>
      </c>
      <c r="CU20" t="e">
        <f>AND(#REF!,"AAAAADh/72I=")</f>
        <v>#REF!</v>
      </c>
      <c r="CV20" t="e">
        <f>AND(#REF!,"AAAAADh/72M=")</f>
        <v>#REF!</v>
      </c>
      <c r="CW20" t="e">
        <f>AND(#REF!,"AAAAADh/72Q=")</f>
        <v>#REF!</v>
      </c>
      <c r="CX20" t="e">
        <f>AND(#REF!,"AAAAADh/72U=")</f>
        <v>#REF!</v>
      </c>
      <c r="CY20" t="e">
        <f>AND(#REF!,"AAAAADh/72Y=")</f>
        <v>#REF!</v>
      </c>
      <c r="CZ20" t="e">
        <f>AND(#REF!,"AAAAADh/72c=")</f>
        <v>#REF!</v>
      </c>
      <c r="DA20" t="e">
        <f>AND(#REF!,"AAAAADh/72g=")</f>
        <v>#REF!</v>
      </c>
      <c r="DB20" t="e">
        <f>AND(#REF!,"AAAAADh/72k=")</f>
        <v>#REF!</v>
      </c>
      <c r="DC20" t="e">
        <f>AND(#REF!,"AAAAADh/72o=")</f>
        <v>#REF!</v>
      </c>
      <c r="DD20" t="e">
        <f>AND(#REF!,"AAAAADh/72s=")</f>
        <v>#REF!</v>
      </c>
      <c r="DE20" t="e">
        <f>AND(#REF!,"AAAAADh/72w=")</f>
        <v>#REF!</v>
      </c>
      <c r="DF20" t="e">
        <f>AND(#REF!,"AAAAADh/720=")</f>
        <v>#REF!</v>
      </c>
      <c r="DG20" t="e">
        <f>AND(#REF!,"AAAAADh/724=")</f>
        <v>#REF!</v>
      </c>
      <c r="DH20" t="e">
        <f>AND(#REF!,"AAAAADh/728=")</f>
        <v>#REF!</v>
      </c>
      <c r="DI20" t="e">
        <f>AND(#REF!,"AAAAADh/73A=")</f>
        <v>#REF!</v>
      </c>
      <c r="DJ20" t="e">
        <f>IF(#REF!,"AAAAADh/73E=",0)</f>
        <v>#REF!</v>
      </c>
      <c r="DK20" t="e">
        <f>AND(#REF!,"AAAAADh/73I=")</f>
        <v>#REF!</v>
      </c>
      <c r="DL20" t="e">
        <f>AND(#REF!,"AAAAADh/73M=")</f>
        <v>#REF!</v>
      </c>
      <c r="DM20" t="e">
        <f>AND(#REF!,"AAAAADh/73Q=")</f>
        <v>#REF!</v>
      </c>
      <c r="DN20" t="e">
        <f>AND(#REF!,"AAAAADh/73U=")</f>
        <v>#REF!</v>
      </c>
      <c r="DO20" t="e">
        <f>AND(#REF!,"AAAAADh/73Y=")</f>
        <v>#REF!</v>
      </c>
      <c r="DP20" t="e">
        <f>AND(#REF!,"AAAAADh/73c=")</f>
        <v>#REF!</v>
      </c>
      <c r="DQ20" t="e">
        <f>AND(#REF!,"AAAAADh/73g=")</f>
        <v>#REF!</v>
      </c>
      <c r="DR20" t="e">
        <f>AND(#REF!,"AAAAADh/73k=")</f>
        <v>#REF!</v>
      </c>
      <c r="DS20" t="e">
        <f>AND(#REF!,"AAAAADh/73o=")</f>
        <v>#REF!</v>
      </c>
      <c r="DT20" t="e">
        <f>AND(#REF!,"AAAAADh/73s=")</f>
        <v>#REF!</v>
      </c>
      <c r="DU20" t="e">
        <f>AND(#REF!,"AAAAADh/73w=")</f>
        <v>#REF!</v>
      </c>
      <c r="DV20" t="e">
        <f>AND(#REF!,"AAAAADh/730=")</f>
        <v>#REF!</v>
      </c>
      <c r="DW20" t="e">
        <f>AND(#REF!,"AAAAADh/734=")</f>
        <v>#REF!</v>
      </c>
      <c r="DX20" t="e">
        <f>AND(#REF!,"AAAAADh/738=")</f>
        <v>#REF!</v>
      </c>
      <c r="DY20" t="e">
        <f>AND(#REF!,"AAAAADh/74A=")</f>
        <v>#REF!</v>
      </c>
      <c r="DZ20" t="e">
        <f>AND(#REF!,"AAAAADh/74E=")</f>
        <v>#REF!</v>
      </c>
      <c r="EA20" t="e">
        <f>AND(#REF!,"AAAAADh/74I=")</f>
        <v>#REF!</v>
      </c>
      <c r="EB20" t="e">
        <f>AND(#REF!,"AAAAADh/74M=")</f>
        <v>#REF!</v>
      </c>
      <c r="EC20" t="e">
        <f>AND(#REF!,"AAAAADh/74Q=")</f>
        <v>#REF!</v>
      </c>
      <c r="ED20" t="e">
        <f>AND(#REF!,"AAAAADh/74U=")</f>
        <v>#REF!</v>
      </c>
      <c r="EE20" t="e">
        <f>AND(#REF!,"AAAAADh/74Y=")</f>
        <v>#REF!</v>
      </c>
      <c r="EF20" t="e">
        <f>AND(#REF!,"AAAAADh/74c=")</f>
        <v>#REF!</v>
      </c>
      <c r="EG20" t="e">
        <f>AND(#REF!,"AAAAADh/74g=")</f>
        <v>#REF!</v>
      </c>
      <c r="EH20" t="e">
        <f>AND(#REF!,"AAAAADh/74k=")</f>
        <v>#REF!</v>
      </c>
      <c r="EI20" t="e">
        <f>AND(#REF!,"AAAAADh/74o=")</f>
        <v>#REF!</v>
      </c>
      <c r="EJ20" t="e">
        <f>AND(#REF!,"AAAAADh/74s=")</f>
        <v>#REF!</v>
      </c>
      <c r="EK20" t="e">
        <f>AND(#REF!,"AAAAADh/74w=")</f>
        <v>#REF!</v>
      </c>
      <c r="EL20" t="e">
        <f>AND(#REF!,"AAAAADh/740=")</f>
        <v>#REF!</v>
      </c>
      <c r="EM20" t="e">
        <f>AND(#REF!,"AAAAADh/744=")</f>
        <v>#REF!</v>
      </c>
      <c r="EN20" t="e">
        <f>IF(#REF!,"AAAAADh/748=",0)</f>
        <v>#REF!</v>
      </c>
      <c r="EO20" t="e">
        <f>AND(#REF!,"AAAAADh/75A=")</f>
        <v>#REF!</v>
      </c>
      <c r="EP20" t="e">
        <f>AND(#REF!,"AAAAADh/75E=")</f>
        <v>#REF!</v>
      </c>
      <c r="EQ20" t="e">
        <f>AND(#REF!,"AAAAADh/75I=")</f>
        <v>#REF!</v>
      </c>
      <c r="ER20" t="e">
        <f>AND(#REF!,"AAAAADh/75M=")</f>
        <v>#REF!</v>
      </c>
      <c r="ES20" t="e">
        <f>AND(#REF!,"AAAAADh/75Q=")</f>
        <v>#REF!</v>
      </c>
      <c r="ET20" t="e">
        <f>AND(#REF!,"AAAAADh/75U=")</f>
        <v>#REF!</v>
      </c>
      <c r="EU20" t="e">
        <f>AND(#REF!,"AAAAADh/75Y=")</f>
        <v>#REF!</v>
      </c>
      <c r="EV20" t="e">
        <f>AND(#REF!,"AAAAADh/75c=")</f>
        <v>#REF!</v>
      </c>
      <c r="EW20" t="e">
        <f>AND(#REF!,"AAAAADh/75g=")</f>
        <v>#REF!</v>
      </c>
      <c r="EX20" t="e">
        <f>AND(#REF!,"AAAAADh/75k=")</f>
        <v>#REF!</v>
      </c>
      <c r="EY20" t="e">
        <f>AND(#REF!,"AAAAADh/75o=")</f>
        <v>#REF!</v>
      </c>
      <c r="EZ20" t="e">
        <f>AND(#REF!,"AAAAADh/75s=")</f>
        <v>#REF!</v>
      </c>
      <c r="FA20" t="e">
        <f>AND(#REF!,"AAAAADh/75w=")</f>
        <v>#REF!</v>
      </c>
      <c r="FB20" t="e">
        <f>AND(#REF!,"AAAAADh/750=")</f>
        <v>#REF!</v>
      </c>
      <c r="FC20" t="e">
        <f>AND(#REF!,"AAAAADh/754=")</f>
        <v>#REF!</v>
      </c>
      <c r="FD20" t="e">
        <f>AND(#REF!,"AAAAADh/758=")</f>
        <v>#REF!</v>
      </c>
      <c r="FE20" t="e">
        <f>AND(#REF!,"AAAAADh/76A=")</f>
        <v>#REF!</v>
      </c>
      <c r="FF20" t="e">
        <f>AND(#REF!,"AAAAADh/76E=")</f>
        <v>#REF!</v>
      </c>
      <c r="FG20" t="e">
        <f>AND(#REF!,"AAAAADh/76I=")</f>
        <v>#REF!</v>
      </c>
      <c r="FH20" t="e">
        <f>AND(#REF!,"AAAAADh/76M=")</f>
        <v>#REF!</v>
      </c>
      <c r="FI20" t="e">
        <f>AND(#REF!,"AAAAADh/76Q=")</f>
        <v>#REF!</v>
      </c>
      <c r="FJ20" t="e">
        <f>AND(#REF!,"AAAAADh/76U=")</f>
        <v>#REF!</v>
      </c>
      <c r="FK20" t="e">
        <f>AND(#REF!,"AAAAADh/76Y=")</f>
        <v>#REF!</v>
      </c>
      <c r="FL20" t="e">
        <f>AND(#REF!,"AAAAADh/76c=")</f>
        <v>#REF!</v>
      </c>
      <c r="FM20" t="e">
        <f>AND(#REF!,"AAAAADh/76g=")</f>
        <v>#REF!</v>
      </c>
      <c r="FN20" t="e">
        <f>AND(#REF!,"AAAAADh/76k=")</f>
        <v>#REF!</v>
      </c>
      <c r="FO20" t="e">
        <f>AND(#REF!,"AAAAADh/76o=")</f>
        <v>#REF!</v>
      </c>
      <c r="FP20" t="e">
        <f>AND(#REF!,"AAAAADh/76s=")</f>
        <v>#REF!</v>
      </c>
      <c r="FQ20" t="e">
        <f>AND(#REF!,"AAAAADh/76w=")</f>
        <v>#REF!</v>
      </c>
      <c r="FR20" t="e">
        <f>IF(#REF!,"AAAAADh/760=",0)</f>
        <v>#REF!</v>
      </c>
      <c r="FS20" t="e">
        <f>AND(#REF!,"AAAAADh/764=")</f>
        <v>#REF!</v>
      </c>
      <c r="FT20" t="e">
        <f>AND(#REF!,"AAAAADh/768=")</f>
        <v>#REF!</v>
      </c>
      <c r="FU20" t="e">
        <f>IF(#REF!,"AAAAADh/77A=",0)</f>
        <v>#REF!</v>
      </c>
      <c r="FV20" t="e">
        <f>AND(#REF!,"AAAAADh/77E=")</f>
        <v>#REF!</v>
      </c>
      <c r="FW20" t="e">
        <f>AND(#REF!,"AAAAADh/77I=")</f>
        <v>#REF!</v>
      </c>
      <c r="FX20" t="e">
        <f>IF(#REF!,"AAAAADh/77M=",0)</f>
        <v>#REF!</v>
      </c>
      <c r="FY20" t="e">
        <f>AND(#REF!,"AAAAADh/77Q=")</f>
        <v>#REF!</v>
      </c>
      <c r="FZ20" t="e">
        <f>AND(#REF!,"AAAAADh/77U=")</f>
        <v>#REF!</v>
      </c>
      <c r="GA20" t="e">
        <f>IF(#REF!,"AAAAADh/77Y=",0)</f>
        <v>#REF!</v>
      </c>
      <c r="GB20" t="e">
        <f>AND(#REF!,"AAAAADh/77c=")</f>
        <v>#REF!</v>
      </c>
      <c r="GC20" t="e">
        <f>AND(#REF!,"AAAAADh/77g=")</f>
        <v>#REF!</v>
      </c>
      <c r="GD20" t="e">
        <f>IF(#REF!,"AAAAADh/77k=",0)</f>
        <v>#REF!</v>
      </c>
      <c r="GE20" t="e">
        <f>AND(#REF!,"AAAAADh/77o=")</f>
        <v>#REF!</v>
      </c>
      <c r="GF20" t="e">
        <f>AND(#REF!,"AAAAADh/77s=")</f>
        <v>#REF!</v>
      </c>
      <c r="GG20" t="e">
        <f>IF(#REF!,"AAAAADh/77w=",0)</f>
        <v>#REF!</v>
      </c>
      <c r="GH20" t="e">
        <f>AND(#REF!,"AAAAADh/770=")</f>
        <v>#REF!</v>
      </c>
      <c r="GI20" t="e">
        <f>AND(#REF!,"AAAAADh/774=")</f>
        <v>#REF!</v>
      </c>
      <c r="GJ20" t="e">
        <f>IF(#REF!,"AAAAADh/778=",0)</f>
        <v>#REF!</v>
      </c>
      <c r="GK20" t="e">
        <f>AND(#REF!,"AAAAADh/78A=")</f>
        <v>#REF!</v>
      </c>
      <c r="GL20" t="e">
        <f>AND(#REF!,"AAAAADh/78E=")</f>
        <v>#REF!</v>
      </c>
      <c r="GM20" t="e">
        <f>IF(#REF!,"AAAAADh/78I=",0)</f>
        <v>#REF!</v>
      </c>
      <c r="GN20" t="e">
        <f>AND(#REF!,"AAAAADh/78M=")</f>
        <v>#REF!</v>
      </c>
      <c r="GO20" t="e">
        <f>AND(#REF!,"AAAAADh/78Q=")</f>
        <v>#REF!</v>
      </c>
      <c r="GP20" t="e">
        <f>IF(#REF!,"AAAAADh/78U=",0)</f>
        <v>#REF!</v>
      </c>
      <c r="GQ20" t="e">
        <f>AND(#REF!,"AAAAADh/78Y=")</f>
        <v>#REF!</v>
      </c>
      <c r="GR20" t="e">
        <f>AND(#REF!,"AAAAADh/78c=")</f>
        <v>#REF!</v>
      </c>
      <c r="GS20" t="e">
        <f>IF(#REF!,"AAAAADh/78g=",0)</f>
        <v>#REF!</v>
      </c>
      <c r="GT20" t="e">
        <f>AND(#REF!,"AAAAADh/78k=")</f>
        <v>#REF!</v>
      </c>
      <c r="GU20" t="e">
        <f>AND(#REF!,"AAAAADh/78o=")</f>
        <v>#REF!</v>
      </c>
      <c r="GV20" t="e">
        <f>IF(#REF!,"AAAAADh/78s=",0)</f>
        <v>#REF!</v>
      </c>
      <c r="GW20" t="e">
        <f>AND(#REF!,"AAAAADh/78w=")</f>
        <v>#REF!</v>
      </c>
      <c r="GX20" t="e">
        <f>AND(#REF!,"AAAAADh/780=")</f>
        <v>#REF!</v>
      </c>
      <c r="GY20" t="e">
        <f>IF(#REF!,"AAAAADh/784=",0)</f>
        <v>#REF!</v>
      </c>
      <c r="GZ20" t="e">
        <f>AND(#REF!,"AAAAADh/788=")</f>
        <v>#REF!</v>
      </c>
      <c r="HA20" t="e">
        <f>AND(#REF!,"AAAAADh/79A=")</f>
        <v>#REF!</v>
      </c>
      <c r="HB20" t="e">
        <f>IF(#REF!,"AAAAADh/79E=",0)</f>
        <v>#REF!</v>
      </c>
      <c r="HC20" t="e">
        <f>AND(#REF!,"AAAAADh/79I=")</f>
        <v>#REF!</v>
      </c>
      <c r="HD20" t="e">
        <f>AND(#REF!,"AAAAADh/79M=")</f>
        <v>#REF!</v>
      </c>
      <c r="HE20" t="e">
        <f>IF(#REF!,"AAAAADh/79Q=",0)</f>
        <v>#REF!</v>
      </c>
      <c r="HF20" t="e">
        <f>AND(#REF!,"AAAAADh/79U=")</f>
        <v>#REF!</v>
      </c>
      <c r="HG20" t="e">
        <f>AND(#REF!,"AAAAADh/79Y=")</f>
        <v>#REF!</v>
      </c>
      <c r="HH20" t="e">
        <f>IF(#REF!,"AAAAADh/79c=",0)</f>
        <v>#REF!</v>
      </c>
      <c r="HI20" t="e">
        <f>AND(#REF!,"AAAAADh/79g=")</f>
        <v>#REF!</v>
      </c>
      <c r="HJ20" t="e">
        <f>AND(#REF!,"AAAAADh/79k=")</f>
        <v>#REF!</v>
      </c>
      <c r="HK20" t="e">
        <f>IF(#REF!,"AAAAADh/79o=",0)</f>
        <v>#REF!</v>
      </c>
      <c r="HL20" t="e">
        <f>AND(#REF!,"AAAAADh/79s=")</f>
        <v>#REF!</v>
      </c>
      <c r="HM20" t="e">
        <f>AND(#REF!,"AAAAADh/79w=")</f>
        <v>#REF!</v>
      </c>
      <c r="HN20" t="e">
        <f>IF(#REF!,"AAAAADh/790=",0)</f>
        <v>#REF!</v>
      </c>
      <c r="HO20" t="e">
        <f>AND(#REF!,"AAAAADh/794=")</f>
        <v>#REF!</v>
      </c>
      <c r="HP20" t="e">
        <f>AND(#REF!,"AAAAADh/798=")</f>
        <v>#REF!</v>
      </c>
      <c r="HQ20" t="e">
        <f>IF(#REF!,"AAAAADh/7+A=",0)</f>
        <v>#REF!</v>
      </c>
      <c r="HR20" t="e">
        <f>AND(#REF!,"AAAAADh/7+E=")</f>
        <v>#REF!</v>
      </c>
      <c r="HS20" t="e">
        <f>AND(#REF!,"AAAAADh/7+I=")</f>
        <v>#REF!</v>
      </c>
      <c r="HT20" t="e">
        <f>IF(#REF!,"AAAAADh/7+M=",0)</f>
        <v>#REF!</v>
      </c>
      <c r="HU20" t="e">
        <f>AND(#REF!,"AAAAADh/7+Q=")</f>
        <v>#REF!</v>
      </c>
      <c r="HV20" t="e">
        <f>AND(#REF!,"AAAAADh/7+U=")</f>
        <v>#REF!</v>
      </c>
      <c r="HW20" t="e">
        <f>IF(#REF!,"AAAAADh/7+Y=",0)</f>
        <v>#REF!</v>
      </c>
      <c r="HX20" t="e">
        <f>AND(#REF!,"AAAAADh/7+c=")</f>
        <v>#REF!</v>
      </c>
      <c r="HY20" t="e">
        <f>AND(#REF!,"AAAAADh/7+g=")</f>
        <v>#REF!</v>
      </c>
      <c r="HZ20" t="e">
        <f>IF(#REF!,"AAAAADh/7+k=",0)</f>
        <v>#REF!</v>
      </c>
      <c r="IA20" t="e">
        <f>AND(#REF!,"AAAAADh/7+o=")</f>
        <v>#REF!</v>
      </c>
      <c r="IB20" t="e">
        <f>AND(#REF!,"AAAAADh/7+s=")</f>
        <v>#REF!</v>
      </c>
      <c r="IC20" t="e">
        <f>IF(#REF!,"AAAAADh/7+w=",0)</f>
        <v>#REF!</v>
      </c>
      <c r="ID20" t="e">
        <f>AND(#REF!,"AAAAADh/7+0=")</f>
        <v>#REF!</v>
      </c>
      <c r="IE20" t="e">
        <f>AND(#REF!,"AAAAADh/7+4=")</f>
        <v>#REF!</v>
      </c>
      <c r="IF20" t="e">
        <f>IF(#REF!,"AAAAADh/7+8=",0)</f>
        <v>#REF!</v>
      </c>
      <c r="IG20" t="e">
        <f>IF(#REF!,"AAAAADh/7/A=",0)</f>
        <v>#REF!</v>
      </c>
      <c r="IH20" t="e">
        <f>IF(#REF!,"AAAAADh/7/E=",0)</f>
        <v>#REF!</v>
      </c>
      <c r="II20" t="e">
        <f>IF(#REF!,"AAAAADh/7/I=",0)</f>
        <v>#REF!</v>
      </c>
      <c r="IJ20" t="e">
        <f>IF(#REF!,"AAAAADh/7/M=",0)</f>
        <v>#REF!</v>
      </c>
      <c r="IK20" t="e">
        <f>IF(#REF!,"AAAAADh/7/Q=",0)</f>
        <v>#REF!</v>
      </c>
      <c r="IL20" t="e">
        <f>IF(#REF!,"AAAAADh/7/U=",0)</f>
        <v>#REF!</v>
      </c>
      <c r="IM20" t="e">
        <f>IF(#REF!,"AAAAADh/7/Y=",0)</f>
        <v>#REF!</v>
      </c>
      <c r="IN20" t="e">
        <f>IF(#REF!,"AAAAADh/7/c=",0)</f>
        <v>#REF!</v>
      </c>
      <c r="IO20" t="e">
        <f>IF(#REF!,"AAAAADh/7/g=",0)</f>
        <v>#REF!</v>
      </c>
      <c r="IP20" t="e">
        <f>IF(#REF!,"AAAAADh/7/k=",0)</f>
        <v>#REF!</v>
      </c>
      <c r="IQ20" t="e">
        <f>IF(#REF!,"AAAAADh/7/o=",0)</f>
        <v>#REF!</v>
      </c>
      <c r="IR20" t="e">
        <f>IF(#REF!,"AAAAADh/7/s=",0)</f>
        <v>#REF!</v>
      </c>
      <c r="IS20" t="e">
        <f>IF(#REF!,"AAAAADh/7/w=",0)</f>
        <v>#REF!</v>
      </c>
      <c r="IT20" t="e">
        <f>IF(#REF!,"AAAAADh/7/0=",0)</f>
        <v>#REF!</v>
      </c>
      <c r="IU20" t="e">
        <f>IF(#REF!,"AAAAADh/7/4=",0)</f>
        <v>#REF!</v>
      </c>
      <c r="IV20" t="e">
        <f>IF(#REF!,"AAAAADh/7/8=",0)</f>
        <v>#REF!</v>
      </c>
    </row>
    <row r="21" spans="1:256" x14ac:dyDescent="0.2">
      <c r="A21" t="e">
        <f>IF(#REF!,"AAAAAF/66QA=",0)</f>
        <v>#REF!</v>
      </c>
      <c r="B21" t="e">
        <f>IF(#REF!,"AAAAAF/66QE=",0)</f>
        <v>#REF!</v>
      </c>
      <c r="C21" t="e">
        <f>IF(#REF!,"AAAAAF/66QI=",0)</f>
        <v>#REF!</v>
      </c>
      <c r="D21" t="e">
        <f>IF(#REF!,"AAAAAF/66QM=",0)</f>
        <v>#REF!</v>
      </c>
      <c r="E21" t="e">
        <f>IF(#REF!,"AAAAAF/66QQ=",0)</f>
        <v>#REF!</v>
      </c>
      <c r="F21" t="e">
        <f>IF(#REF!,"AAAAAF/66QU=",0)</f>
        <v>#REF!</v>
      </c>
      <c r="G21" t="e">
        <f>IF(#REF!,"AAAAAF/66QY=",0)</f>
        <v>#REF!</v>
      </c>
      <c r="H21" t="e">
        <f>IF(#REF!,"AAAAAF/66Qc=",0)</f>
        <v>#REF!</v>
      </c>
      <c r="I21" t="e">
        <f>IF(#REF!,"AAAAAF/66Qg=",0)</f>
        <v>#REF!</v>
      </c>
      <c r="J21" t="e">
        <f>IF(#REF!,"AAAAAF/66Qk=",0)</f>
        <v>#REF!</v>
      </c>
      <c r="K21" t="e">
        <f>IF(#REF!,"AAAAAF/66Qo=",0)</f>
        <v>#REF!</v>
      </c>
      <c r="L21" t="e">
        <f>IF(#REF!,"AAAAAF/66Qs=",0)</f>
        <v>#REF!</v>
      </c>
      <c r="M21" t="s">
        <v>73</v>
      </c>
      <c r="N21" t="s">
        <v>74</v>
      </c>
      <c r="O21" t="e">
        <f>IF("N",_xludf._xlfn.AVERAGEIF,"AAAAAF/66Q4=")</f>
        <v>#VALUE!</v>
      </c>
      <c r="P21" t="e">
        <f>IF("N",_xlfn.COUNTIFS,"AAAAAF/66Q8=")</f>
        <v>#VALUE!</v>
      </c>
    </row>
    <row r="22" spans="1:256" x14ac:dyDescent="0.2">
      <c r="A22" t="e">
        <f>AND(Teoria!#REF!,"AAAAAG/5lwA=")</f>
        <v>#REF!</v>
      </c>
      <c r="B22" t="e">
        <f>AND(Teoria!#REF!,"AAAAAG/5lwE=")</f>
        <v>#REF!</v>
      </c>
      <c r="C22" t="e">
        <f>AND(Teoria!B1,"AAAAAG/5lwI=")</f>
        <v>#VALUE!</v>
      </c>
      <c r="D22" t="e">
        <f>AND(Teoria!C1,"AAAAAG/5lwM=")</f>
        <v>#VALUE!</v>
      </c>
      <c r="E22" t="e">
        <f>AND(Teoria!#REF!,"AAAAAG/5lwQ=")</f>
        <v>#REF!</v>
      </c>
      <c r="F22" t="e">
        <f>AND(Teoria!#REF!,"AAAAAG/5lwU=")</f>
        <v>#REF!</v>
      </c>
      <c r="G22" t="e">
        <f>AND(Teoria!B2,"AAAAAG/5lwY=")</f>
        <v>#VALUE!</v>
      </c>
      <c r="H22" t="e">
        <f>AND(Teoria!C2,"AAAAAG/5lwc=")</f>
        <v>#VALUE!</v>
      </c>
      <c r="I22" t="e">
        <f>AND(Teoria!#REF!,"AAAAAG/5lwg=")</f>
        <v>#REF!</v>
      </c>
      <c r="J22" t="e">
        <f>AND(Teoria!#REF!,"AAAAAG/5lwk=")</f>
        <v>#REF!</v>
      </c>
      <c r="K22" t="e">
        <f>AND(Teoria!B3,"AAAAAG/5lwo=")</f>
        <v>#VALUE!</v>
      </c>
      <c r="L22" t="e">
        <f>AND(Teoria!C3,"AAAAAG/5lws=")</f>
        <v>#VALUE!</v>
      </c>
      <c r="M22" t="e">
        <f>AND(Teoria!#REF!,"AAAAAG/5lww=")</f>
        <v>#REF!</v>
      </c>
      <c r="N22" t="e">
        <f>AND(Teoria!#REF!,"AAAAAG/5lw0=")</f>
        <v>#REF!</v>
      </c>
      <c r="O22" t="e">
        <f>AND(Teoria!B4,"AAAAAG/5lw4=")</f>
        <v>#VALUE!</v>
      </c>
      <c r="P22" t="e">
        <f>AND(Teoria!C4,"AAAAAG/5lw8=")</f>
        <v>#VALUE!</v>
      </c>
      <c r="Q22" t="e">
        <f>AND(Teoria!#REF!,"AAAAAG/5lxA=")</f>
        <v>#REF!</v>
      </c>
      <c r="R22" t="e">
        <f>AND(Teoria!#REF!,"AAAAAG/5lxE=")</f>
        <v>#REF!</v>
      </c>
      <c r="S22" t="e">
        <f>AND(Teoria!B5,"AAAAAG/5lxI=")</f>
        <v>#VALUE!</v>
      </c>
      <c r="T22" t="e">
        <f>AND(Teoria!C5,"AAAAAG/5lxM=")</f>
        <v>#VALUE!</v>
      </c>
      <c r="U22" t="e">
        <f>AND(Teoria!#REF!,"AAAAAG/5lxQ=")</f>
        <v>#REF!</v>
      </c>
      <c r="V22" t="e">
        <f>AND(Teoria!#REF!,"AAAAAG/5lxU=")</f>
        <v>#REF!</v>
      </c>
      <c r="W22" t="e">
        <f>AND(Teoria!B6,"AAAAAG/5lxY=")</f>
        <v>#VALUE!</v>
      </c>
      <c r="X22" t="e">
        <f>AND(Teoria!C6,"AAAAAG/5lxc=")</f>
        <v>#VALUE!</v>
      </c>
      <c r="Y22" t="e">
        <f>AND(Teoria!#REF!,"AAAAAG/5lxg=")</f>
        <v>#REF!</v>
      </c>
      <c r="Z22" t="e">
        <f>AND(Teoria!#REF!,"AAAAAG/5lxk=")</f>
        <v>#REF!</v>
      </c>
      <c r="AA22" t="e">
        <f>AND(Teoria!B7,"AAAAAG/5lxo=")</f>
        <v>#VALUE!</v>
      </c>
      <c r="AB22" t="e">
        <f>AND(Teoria!C7,"AAAAAG/5lxs=")</f>
        <v>#VALUE!</v>
      </c>
      <c r="AC22" t="e">
        <f>AND(Teoria!#REF!,"AAAAAG/5lxw=")</f>
        <v>#REF!</v>
      </c>
      <c r="AD22" t="e">
        <f>AND(Teoria!#REF!,"AAAAAG/5lx0=")</f>
        <v>#REF!</v>
      </c>
      <c r="AE22" t="e">
        <f>AND(Teoria!B8,"AAAAAG/5lx4=")</f>
        <v>#VALUE!</v>
      </c>
      <c r="AF22" t="e">
        <f>AND(Teoria!C8,"AAAAAG/5lx8=")</f>
        <v>#VALUE!</v>
      </c>
      <c r="AG22" t="e">
        <f>AND(Teoria!#REF!,"AAAAAG/5lyA=")</f>
        <v>#REF!</v>
      </c>
      <c r="AH22" t="e">
        <f>AND(Teoria!#REF!,"AAAAAG/5lyE=")</f>
        <v>#REF!</v>
      </c>
      <c r="AI22" t="e">
        <f>AND(Teoria!B9,"AAAAAG/5lyI=")</f>
        <v>#VALUE!</v>
      </c>
      <c r="AJ22" t="e">
        <f>AND(Teoria!C9,"AAAAAG/5lyM=")</f>
        <v>#VALUE!</v>
      </c>
      <c r="AK22" t="e">
        <f>AND(Teoria!#REF!,"AAAAAG/5lyQ=")</f>
        <v>#REF!</v>
      </c>
      <c r="AL22" t="e">
        <f>AND(Teoria!#REF!,"AAAAAG/5lyU=")</f>
        <v>#REF!</v>
      </c>
      <c r="AM22" t="e">
        <f>AND(Teoria!B10,"AAAAAG/5lyY=")</f>
        <v>#VALUE!</v>
      </c>
      <c r="AN22" t="e">
        <f>AND(Teoria!C10,"AAAAAG/5lyc=")</f>
        <v>#VALUE!</v>
      </c>
      <c r="AO22" t="e">
        <f>AND(Teoria!#REF!,"AAAAAG/5lyg=")</f>
        <v>#REF!</v>
      </c>
      <c r="AP22" t="e">
        <f>AND(Teoria!#REF!,"AAAAAG/5lyk=")</f>
        <v>#REF!</v>
      </c>
      <c r="AQ22" t="e">
        <f>AND(Teoria!B11,"AAAAAG/5lyo=")</f>
        <v>#VALUE!</v>
      </c>
      <c r="AR22" t="e">
        <f>AND(Teoria!C11,"AAAAAG/5lys=")</f>
        <v>#VALUE!</v>
      </c>
      <c r="AS22" t="e">
        <f>AND(Teoria!#REF!,"AAAAAG/5lyw=")</f>
        <v>#REF!</v>
      </c>
      <c r="AT22" t="e">
        <f>AND(Teoria!#REF!,"AAAAAG/5ly0=")</f>
        <v>#REF!</v>
      </c>
      <c r="AU22" t="e">
        <f>AND(Teoria!B12,"AAAAAG/5ly4=")</f>
        <v>#VALUE!</v>
      </c>
      <c r="AV22" t="e">
        <f>AND(Teoria!C12,"AAAAAG/5ly8=")</f>
        <v>#VALUE!</v>
      </c>
      <c r="AW22" t="e">
        <f>AND(Teoria!#REF!,"AAAAAG/5lzA=")</f>
        <v>#REF!</v>
      </c>
      <c r="AX22" t="e">
        <f>AND(Teoria!#REF!,"AAAAAG/5lzE=")</f>
        <v>#REF!</v>
      </c>
      <c r="AY22" t="e">
        <f>AND(Teoria!B13,"AAAAAG/5lzI=")</f>
        <v>#VALUE!</v>
      </c>
      <c r="AZ22" t="e">
        <f>AND(Teoria!C13,"AAAAAG/5lzM=")</f>
        <v>#VALUE!</v>
      </c>
      <c r="BA22" t="e">
        <f>AND(Teoria!#REF!,"AAAAAG/5lzQ=")</f>
        <v>#REF!</v>
      </c>
      <c r="BB22" t="e">
        <f>AND(Teoria!#REF!,"AAAAAG/5lzU=")</f>
        <v>#REF!</v>
      </c>
      <c r="BC22" t="e">
        <f>AND(Teoria!B14,"AAAAAG/5lzY=")</f>
        <v>#VALUE!</v>
      </c>
      <c r="BD22" t="e">
        <f>AND(Teoria!C14,"AAAAAG/5lzc=")</f>
        <v>#VALUE!</v>
      </c>
      <c r="BE22" t="e">
        <f>AND(Teoria!#REF!,"AAAAAG/5lzg=")</f>
        <v>#REF!</v>
      </c>
      <c r="BF22" t="e">
        <f>AND(Teoria!#REF!,"AAAAAG/5lzk=")</f>
        <v>#REF!</v>
      </c>
      <c r="BG22" t="e">
        <f>AND(Teoria!B15,"AAAAAG/5lzo=")</f>
        <v>#VALUE!</v>
      </c>
      <c r="BH22" t="e">
        <f>AND(Teoria!C15,"AAAAAG/5lzs=")</f>
        <v>#VALUE!</v>
      </c>
      <c r="BI22" t="e">
        <f>AND(Teoria!#REF!,"AAAAAG/5lzw=")</f>
        <v>#REF!</v>
      </c>
      <c r="BJ22" t="e">
        <f>AND(Teoria!#REF!,"AAAAAG/5lz0=")</f>
        <v>#REF!</v>
      </c>
      <c r="BK22" t="e">
        <f>AND(Teoria!B16,"AAAAAG/5lz4=")</f>
        <v>#VALUE!</v>
      </c>
      <c r="BL22" t="e">
        <f>AND(Teoria!C16,"AAAAAG/5lz8=")</f>
        <v>#VALUE!</v>
      </c>
      <c r="BM22" t="e">
        <f>AND(Teoria!#REF!,"AAAAAG/5l0A=")</f>
        <v>#REF!</v>
      </c>
      <c r="BN22" t="e">
        <f>AND(Teoria!#REF!,"AAAAAG/5l0E=")</f>
        <v>#REF!</v>
      </c>
      <c r="BO22" t="e">
        <f>AND(Teoria!B17,"AAAAAG/5l0I=")</f>
        <v>#VALUE!</v>
      </c>
      <c r="BP22" t="e">
        <f>AND(Teoria!C17,"AAAAAG/5l0M=")</f>
        <v>#VALUE!</v>
      </c>
      <c r="BQ22" t="e">
        <f>AND(Teoria!#REF!,"AAAAAG/5l0Q=")</f>
        <v>#REF!</v>
      </c>
      <c r="BR22" t="e">
        <f>AND(Teoria!#REF!,"AAAAAG/5l0U=")</f>
        <v>#REF!</v>
      </c>
      <c r="BS22" t="e">
        <f>AND(Teoria!B18,"AAAAAG/5l0Y=")</f>
        <v>#VALUE!</v>
      </c>
      <c r="BT22" t="e">
        <f>AND(Teoria!C18,"AAAAAG/5l0c=")</f>
        <v>#VALUE!</v>
      </c>
      <c r="BU22" t="e">
        <f>AND(Teoria!#REF!,"AAAAAG/5l0g=")</f>
        <v>#REF!</v>
      </c>
      <c r="BV22" t="e">
        <f>AND(Teoria!#REF!,"AAAAAG/5l0k=")</f>
        <v>#REF!</v>
      </c>
      <c r="BW22" t="e">
        <f>AND(Teoria!B19,"AAAAAG/5l0o=")</f>
        <v>#VALUE!</v>
      </c>
      <c r="BX22" t="e">
        <f>AND(Teoria!C19,"AAAAAG/5l0s=")</f>
        <v>#VALUE!</v>
      </c>
      <c r="BY22" t="e">
        <f>AND(Teoria!#REF!,"AAAAAG/5l0w=")</f>
        <v>#REF!</v>
      </c>
      <c r="BZ22" t="e">
        <f>AND(Teoria!#REF!,"AAAAAG/5l00=")</f>
        <v>#REF!</v>
      </c>
      <c r="CA22" t="e">
        <f>AND(Teoria!B20,"AAAAAG/5l04=")</f>
        <v>#VALUE!</v>
      </c>
      <c r="CB22" t="e">
        <f>AND(Teoria!C20,"AAAAAG/5l08=")</f>
        <v>#VALUE!</v>
      </c>
      <c r="CC22" t="e">
        <f>AND(Teoria!#REF!,"AAAAAG/5l1A=")</f>
        <v>#REF!</v>
      </c>
      <c r="CD22" t="e">
        <f>AND(Teoria!#REF!,"AAAAAG/5l1E=")</f>
        <v>#REF!</v>
      </c>
      <c r="CE22" t="e">
        <f>AND(Teoria!B21,"AAAAAG/5l1I=")</f>
        <v>#VALUE!</v>
      </c>
      <c r="CF22" t="e">
        <f>AND(Teoria!C21,"AAAAAG/5l1M=")</f>
        <v>#VALUE!</v>
      </c>
      <c r="CG22" t="e">
        <f>AND(Teoria!#REF!,"AAAAAG/5l1Q=")</f>
        <v>#REF!</v>
      </c>
      <c r="CH22" t="e">
        <f>AND(Teoria!#REF!,"AAAAAG/5l1U=")</f>
        <v>#REF!</v>
      </c>
      <c r="CI22" t="e">
        <f>AND(Teoria!B22,"AAAAAG/5l1Y=")</f>
        <v>#VALUE!</v>
      </c>
      <c r="CJ22" t="e">
        <f>AND(Teoria!C22,"AAAAAG/5l1c=")</f>
        <v>#VALUE!</v>
      </c>
      <c r="CK22" t="e">
        <f>AND(Teoria!#REF!,"AAAAAG/5l1g=")</f>
        <v>#REF!</v>
      </c>
      <c r="CL22" t="e">
        <f>AND(Teoria!#REF!,"AAAAAG/5l1k=")</f>
        <v>#REF!</v>
      </c>
      <c r="CM22" t="e">
        <f>AND(Teoria!B23,"AAAAAG/5l1o=")</f>
        <v>#VALUE!</v>
      </c>
      <c r="CN22" t="e">
        <f>AND(Teoria!C23,"AAAAAG/5l1s=")</f>
        <v>#VALUE!</v>
      </c>
      <c r="CO22" t="e">
        <f>AND(Teoria!#REF!,"AAAAAG/5l1w=")</f>
        <v>#REF!</v>
      </c>
      <c r="CP22" t="e">
        <f>AND(Teoria!#REF!,"AAAAAG/5l10=")</f>
        <v>#REF!</v>
      </c>
      <c r="CQ22" t="e">
        <f>AND(Teoria!B24,"AAAAAG/5l14=")</f>
        <v>#VALUE!</v>
      </c>
      <c r="CR22" t="e">
        <f>AND(Teoria!C24,"AAAAAG/5l18=")</f>
        <v>#VALUE!</v>
      </c>
      <c r="CS22" t="e">
        <f>AND(Teoria!#REF!,"AAAAAG/5l2A=")</f>
        <v>#REF!</v>
      </c>
      <c r="CT22" t="e">
        <f>AND(Teoria!#REF!,"AAAAAG/5l2E=")</f>
        <v>#REF!</v>
      </c>
      <c r="CU22" t="e">
        <f>AND(Teoria!B25,"AAAAAG/5l2I=")</f>
        <v>#VALUE!</v>
      </c>
      <c r="CV22" t="e">
        <f>AND(Teoria!C25,"AAAAAG/5l2M=")</f>
        <v>#VALUE!</v>
      </c>
      <c r="CW22" t="e">
        <f>AND(Teoria!#REF!,"AAAAAG/5l2Q=")</f>
        <v>#REF!</v>
      </c>
      <c r="CX22" t="e">
        <f>AND(Teoria!#REF!,"AAAAAG/5l2U=")</f>
        <v>#REF!</v>
      </c>
      <c r="CY22" t="e">
        <f>AND(Teoria!B26,"AAAAAG/5l2Y=")</f>
        <v>#VALUE!</v>
      </c>
      <c r="CZ22" t="e">
        <f>AND(Teoria!C26,"AAAAAG/5l2c=")</f>
        <v>#VALUE!</v>
      </c>
      <c r="DA22" t="e">
        <f>AND(Teoria!#REF!,"AAAAAG/5l2g=")</f>
        <v>#REF!</v>
      </c>
      <c r="DB22" t="e">
        <f>AND(Teoria!#REF!,"AAAAAG/5l2k=")</f>
        <v>#REF!</v>
      </c>
      <c r="DC22" t="e">
        <f>AND(Teoria!B33,"AAAAAG/5l2o=")</f>
        <v>#VALUE!</v>
      </c>
      <c r="DD22" t="e">
        <f>AND(Teoria!C33,"AAAAAG/5l2s=")</f>
        <v>#VALUE!</v>
      </c>
      <c r="DE22" t="e">
        <f>AND(Teoria!#REF!,"AAAAAG/5l2w=")</f>
        <v>#REF!</v>
      </c>
      <c r="DF22" t="e">
        <f>AND(Teoria!#REF!,"AAAAAG/5l20=")</f>
        <v>#REF!</v>
      </c>
      <c r="DG22" t="e">
        <f>AND(Teoria!B34,"AAAAAG/5l24=")</f>
        <v>#VALUE!</v>
      </c>
      <c r="DH22" t="e">
        <f>AND(Teoria!C34,"AAAAAG/5l28=")</f>
        <v>#VALUE!</v>
      </c>
      <c r="DI22" t="e">
        <f>AND(Teoria!#REF!,"AAAAAG/5l3A=")</f>
        <v>#REF!</v>
      </c>
      <c r="DJ22" t="e">
        <f>AND(Teoria!#REF!,"AAAAAG/5l3E=")</f>
        <v>#REF!</v>
      </c>
      <c r="DK22" t="e">
        <f>AND(Teoria!B35,"AAAAAG/5l3I=")</f>
        <v>#VALUE!</v>
      </c>
      <c r="DL22" t="e">
        <f>AND(Teoria!C35,"AAAAAG/5l3M=")</f>
        <v>#VALUE!</v>
      </c>
      <c r="DM22" t="e">
        <f>AND(Teoria!#REF!,"AAAAAG/5l3Q=")</f>
        <v>#REF!</v>
      </c>
      <c r="DN22" t="e">
        <f>AND(Teoria!#REF!,"AAAAAG/5l3U=")</f>
        <v>#REF!</v>
      </c>
      <c r="DO22" t="e">
        <f>AND(Teoria!B36,"AAAAAG/5l3Y=")</f>
        <v>#VALUE!</v>
      </c>
      <c r="DP22" t="e">
        <f>AND(Teoria!C36,"AAAAAG/5l3c=")</f>
        <v>#VALUE!</v>
      </c>
      <c r="DQ22" t="e">
        <f>AND(Teoria!#REF!,"AAAAAG/5l3g=")</f>
        <v>#REF!</v>
      </c>
      <c r="DR22" t="e">
        <f>AND(Teoria!#REF!,"AAAAAG/5l3k=")</f>
        <v>#REF!</v>
      </c>
      <c r="DS22" t="e">
        <f>AND(Teoria!B37,"AAAAAG/5l3o=")</f>
        <v>#VALUE!</v>
      </c>
      <c r="DT22" t="e">
        <f>AND(Teoria!C37,"AAAAAG/5l3s=")</f>
        <v>#VALUE!</v>
      </c>
      <c r="DU22" t="e">
        <f>AND(Teoria!#REF!,"AAAAAG/5l3w=")</f>
        <v>#REF!</v>
      </c>
      <c r="DV22" t="e">
        <f>AND(Teoria!#REF!,"AAAAAG/5l30=")</f>
        <v>#REF!</v>
      </c>
      <c r="DW22" t="e">
        <f>AND(Teoria!B38,"AAAAAG/5l34=")</f>
        <v>#VALUE!</v>
      </c>
      <c r="DX22" t="e">
        <f>AND(Teoria!C38,"AAAAAG/5l38=")</f>
        <v>#VALUE!</v>
      </c>
      <c r="DY22" t="e">
        <f>AND(Teoria!#REF!,"AAAAAG/5l4A=")</f>
        <v>#REF!</v>
      </c>
      <c r="DZ22" t="e">
        <f>AND(Teoria!#REF!,"AAAAAG/5l4E=")</f>
        <v>#REF!</v>
      </c>
      <c r="EA22" t="e">
        <f>AND(Teoria!B39,"AAAAAG/5l4I=")</f>
        <v>#VALUE!</v>
      </c>
      <c r="EB22" t="e">
        <f>AND(Teoria!C39,"AAAAAG/5l4M=")</f>
        <v>#VALUE!</v>
      </c>
      <c r="EC22" t="e">
        <f>AND(Teoria!#REF!,"AAAAAG/5l4Q=")</f>
        <v>#REF!</v>
      </c>
      <c r="ED22" t="e">
        <f>AND(Teoria!#REF!,"AAAAAG/5l4U=")</f>
        <v>#REF!</v>
      </c>
      <c r="EE22" t="e">
        <f>AND(Teoria!B40,"AAAAAG/5l4Y=")</f>
        <v>#VALUE!</v>
      </c>
      <c r="EF22" t="e">
        <f>AND(Teoria!C40,"AAAAAG/5l4c=")</f>
        <v>#VALUE!</v>
      </c>
      <c r="EG22" t="e">
        <f>AND(Teoria!#REF!,"AAAAAG/5l4g=")</f>
        <v>#REF!</v>
      </c>
      <c r="EH22" t="e">
        <f>AND(Teoria!#REF!,"AAAAAG/5l4k=")</f>
        <v>#REF!</v>
      </c>
      <c r="EI22" t="e">
        <f>AND(Teoria!B41,"AAAAAG/5l4o=")</f>
        <v>#VALUE!</v>
      </c>
      <c r="EJ22" t="e">
        <f>AND(Teoria!C41,"AAAAAG/5l4s=")</f>
        <v>#VALUE!</v>
      </c>
      <c r="EK22" t="e">
        <f>AND(Teoria!#REF!,"AAAAAG/5l4w=")</f>
        <v>#REF!</v>
      </c>
      <c r="EL22" t="e">
        <f>AND(Teoria!#REF!,"AAAAAG/5l40=")</f>
        <v>#REF!</v>
      </c>
      <c r="EM22" t="e">
        <f>AND(Teoria!B42,"AAAAAG/5l44=")</f>
        <v>#VALUE!</v>
      </c>
      <c r="EN22" t="e">
        <f>AND(Teoria!C42,"AAAAAG/5l48=")</f>
        <v>#VALUE!</v>
      </c>
      <c r="EO22" t="e">
        <f>AND(Teoria!#REF!,"AAAAAG/5l5A=")</f>
        <v>#REF!</v>
      </c>
      <c r="EP22" t="e">
        <f>AND(Teoria!#REF!,"AAAAAG/5l5E=")</f>
        <v>#REF!</v>
      </c>
      <c r="EQ22" t="e">
        <f>AND(Teoria!B43,"AAAAAG/5l5I=")</f>
        <v>#VALUE!</v>
      </c>
      <c r="ER22" t="e">
        <f>AND(Teoria!C43,"AAAAAG/5l5M=")</f>
        <v>#VALUE!</v>
      </c>
      <c r="ES22" t="e">
        <f>AND(Teoria!#REF!,"AAAAAG/5l5Q=")</f>
        <v>#REF!</v>
      </c>
      <c r="ET22" t="e">
        <f>AND(Teoria!#REF!,"AAAAAG/5l5U=")</f>
        <v>#REF!</v>
      </c>
      <c r="EU22" t="e">
        <f>AND(Teoria!B44,"AAAAAG/5l5Y=")</f>
        <v>#VALUE!</v>
      </c>
      <c r="EV22" t="e">
        <f>AND(Teoria!C44,"AAAAAG/5l5c=")</f>
        <v>#VALUE!</v>
      </c>
      <c r="EW22" t="e">
        <f>IF(Teoria!#REF!,"AAAAAG/5l5g=",0)</f>
        <v>#REF!</v>
      </c>
      <c r="EX22" t="e">
        <f>IF(Teoria!#REF!,"AAAAAG/5l5k=",0)</f>
        <v>#REF!</v>
      </c>
      <c r="EY22" t="str">
        <f ca="1">IF(Teoria!B:B,"AAAAAG/5l5o=",0)</f>
        <v>AAAAAG/5l5o=</v>
      </c>
      <c r="EZ22" t="str">
        <f ca="1">IF(Teoria!C:C,"AAAAAG/5l5s=",0)</f>
        <v>AAAAAG/5l5s=</v>
      </c>
      <c r="FA22" t="e">
        <f>IF(#REF!,"AAAAAG/5l5w=",0)</f>
        <v>#REF!</v>
      </c>
      <c r="FB22" t="e">
        <f>AND(#REF!,"AAAAAG/5l50=")</f>
        <v>#REF!</v>
      </c>
      <c r="FC22" t="e">
        <f>AND(#REF!,"AAAAAG/5l54=")</f>
        <v>#REF!</v>
      </c>
      <c r="FD22" t="e">
        <f>AND(#REF!,"AAAAAG/5l58=")</f>
        <v>#REF!</v>
      </c>
      <c r="FE22" t="e">
        <f>AND(#REF!,"AAAAAG/5l6A=")</f>
        <v>#REF!</v>
      </c>
      <c r="FF22" t="e">
        <f>AND(#REF!,"AAAAAG/5l6E=")</f>
        <v>#REF!</v>
      </c>
      <c r="FG22" t="e">
        <f>AND(#REF!,"AAAAAG/5l6I=")</f>
        <v>#REF!</v>
      </c>
      <c r="FH22" t="e">
        <f>AND(#REF!,"AAAAAG/5l6M=")</f>
        <v>#REF!</v>
      </c>
      <c r="FI22" t="e">
        <f>AND(#REF!,"AAAAAG/5l6Q=")</f>
        <v>#REF!</v>
      </c>
      <c r="FJ22" t="e">
        <f>AND(#REF!,"AAAAAG/5l6U=")</f>
        <v>#REF!</v>
      </c>
      <c r="FK22" t="e">
        <f>AND(#REF!,"AAAAAG/5l6Y=")</f>
        <v>#REF!</v>
      </c>
      <c r="FL22" t="e">
        <f>AND(#REF!,"AAAAAG/5l6c=")</f>
        <v>#REF!</v>
      </c>
      <c r="FM22" t="e">
        <f>AND(#REF!,"AAAAAG/5l6g=")</f>
        <v>#REF!</v>
      </c>
      <c r="FN22" t="e">
        <f>AND(#REF!,"AAAAAG/5l6k=")</f>
        <v>#REF!</v>
      </c>
      <c r="FO22" t="e">
        <f>AND(#REF!,"AAAAAG/5l6o=")</f>
        <v>#REF!</v>
      </c>
      <c r="FP22" t="e">
        <f>AND(#REF!,"AAAAAG/5l6s=")</f>
        <v>#REF!</v>
      </c>
      <c r="FQ22" t="e">
        <f>AND(#REF!,"AAAAAG/5l6w=")</f>
        <v>#REF!</v>
      </c>
      <c r="FR22" t="e">
        <f>AND(#REF!,"AAAAAG/5l60=")</f>
        <v>#REF!</v>
      </c>
      <c r="FS22" t="e">
        <f>AND(#REF!,"AAAAAG/5l64=")</f>
        <v>#REF!</v>
      </c>
      <c r="FT22" t="e">
        <f>AND(#REF!,"AAAAAG/5l68=")</f>
        <v>#REF!</v>
      </c>
      <c r="FU22" t="e">
        <f>AND(#REF!,"AAAAAG/5l7A=")</f>
        <v>#REF!</v>
      </c>
      <c r="FV22" t="e">
        <f>AND(#REF!,"AAAAAG/5l7E=")</f>
        <v>#REF!</v>
      </c>
      <c r="FW22" t="e">
        <f>AND(#REF!,"AAAAAG/5l7I=")</f>
        <v>#REF!</v>
      </c>
      <c r="FX22" t="e">
        <f>AND(#REF!,"AAAAAG/5l7M=")</f>
        <v>#REF!</v>
      </c>
      <c r="FY22" t="e">
        <f>AND(#REF!,"AAAAAG/5l7Q=")</f>
        <v>#REF!</v>
      </c>
      <c r="FZ22" t="e">
        <f>AND(#REF!,"AAAAAG/5l7U=")</f>
        <v>#REF!</v>
      </c>
      <c r="GA22" t="e">
        <f>AND(#REF!,"AAAAAG/5l7Y=")</f>
        <v>#REF!</v>
      </c>
      <c r="GB22" t="e">
        <f>AND(#REF!,"AAAAAG/5l7c=")</f>
        <v>#REF!</v>
      </c>
      <c r="GC22" t="e">
        <f>AND(#REF!,"AAAAAG/5l7g=")</f>
        <v>#REF!</v>
      </c>
      <c r="GD22" t="e">
        <f>AND(#REF!,"AAAAAG/5l7k=")</f>
        <v>#REF!</v>
      </c>
      <c r="GE22" t="e">
        <f>AND(#REF!,"AAAAAG/5l7o=")</f>
        <v>#REF!</v>
      </c>
      <c r="GF22" t="e">
        <f>AND(#REF!,"AAAAAG/5l7s=")</f>
        <v>#REF!</v>
      </c>
      <c r="GG22" t="e">
        <f>AND(#REF!,"AAAAAG/5l7w=")</f>
        <v>#REF!</v>
      </c>
      <c r="GH22" t="e">
        <f>IF(#REF!,"AAAAAG/5l70=",0)</f>
        <v>#REF!</v>
      </c>
      <c r="GI22" t="e">
        <f>AND(#REF!,"AAAAAG/5l74=")</f>
        <v>#REF!</v>
      </c>
      <c r="GJ22" t="e">
        <f>AND(#REF!,"AAAAAG/5l78=")</f>
        <v>#REF!</v>
      </c>
      <c r="GK22" t="e">
        <f>AND(#REF!,"AAAAAG/5l8A=")</f>
        <v>#REF!</v>
      </c>
      <c r="GL22" t="e">
        <f>AND(#REF!,"AAAAAG/5l8E=")</f>
        <v>#REF!</v>
      </c>
      <c r="GM22" t="e">
        <f>AND(#REF!,"AAAAAG/5l8I=")</f>
        <v>#REF!</v>
      </c>
      <c r="GN22" t="e">
        <f>AND(#REF!,"AAAAAG/5l8M=")</f>
        <v>#REF!</v>
      </c>
      <c r="GO22" t="e">
        <f>AND(#REF!,"AAAAAG/5l8Q=")</f>
        <v>#REF!</v>
      </c>
      <c r="GP22" t="e">
        <f>AND(#REF!,"AAAAAG/5l8U=")</f>
        <v>#REF!</v>
      </c>
      <c r="GQ22" t="e">
        <f>AND(#REF!,"AAAAAG/5l8Y=")</f>
        <v>#REF!</v>
      </c>
      <c r="GR22" t="e">
        <f>AND(#REF!,"AAAAAG/5l8c=")</f>
        <v>#REF!</v>
      </c>
      <c r="GS22" t="e">
        <f>AND(#REF!,"AAAAAG/5l8g=")</f>
        <v>#REF!</v>
      </c>
      <c r="GT22" t="e">
        <f>AND(#REF!,"AAAAAG/5l8k=")</f>
        <v>#REF!</v>
      </c>
      <c r="GU22" t="e">
        <f>AND(#REF!,"AAAAAG/5l8o=")</f>
        <v>#REF!</v>
      </c>
      <c r="GV22" t="e">
        <f>AND(#REF!,"AAAAAG/5l8s=")</f>
        <v>#REF!</v>
      </c>
      <c r="GW22" t="e">
        <f>AND(#REF!,"AAAAAG/5l8w=")</f>
        <v>#REF!</v>
      </c>
      <c r="GX22" t="e">
        <f>AND(#REF!,"AAAAAG/5l80=")</f>
        <v>#REF!</v>
      </c>
      <c r="GY22" t="e">
        <f>AND(#REF!,"AAAAAG/5l84=")</f>
        <v>#REF!</v>
      </c>
      <c r="GZ22" t="e">
        <f>AND(#REF!,"AAAAAG/5l88=")</f>
        <v>#REF!</v>
      </c>
      <c r="HA22" t="e">
        <f>AND(#REF!,"AAAAAG/5l9A=")</f>
        <v>#REF!</v>
      </c>
      <c r="HB22" t="e">
        <f>AND(#REF!,"AAAAAG/5l9E=")</f>
        <v>#REF!</v>
      </c>
      <c r="HC22" t="e">
        <f>AND(#REF!,"AAAAAG/5l9I=")</f>
        <v>#REF!</v>
      </c>
      <c r="HD22" t="e">
        <f>AND(#REF!,"AAAAAG/5l9M=")</f>
        <v>#REF!</v>
      </c>
      <c r="HE22" t="e">
        <f>AND(#REF!,"AAAAAG/5l9Q=")</f>
        <v>#REF!</v>
      </c>
      <c r="HF22" t="e">
        <f>AND(#REF!,"AAAAAG/5l9U=")</f>
        <v>#REF!</v>
      </c>
      <c r="HG22" t="e">
        <f>AND(#REF!,"AAAAAG/5l9Y=")</f>
        <v>#REF!</v>
      </c>
      <c r="HH22" t="e">
        <f>AND(#REF!,"AAAAAG/5l9c=")</f>
        <v>#REF!</v>
      </c>
      <c r="HI22" t="e">
        <f>AND(#REF!,"AAAAAG/5l9g=")</f>
        <v>#REF!</v>
      </c>
      <c r="HJ22" t="e">
        <f>AND(#REF!,"AAAAAG/5l9k=")</f>
        <v>#REF!</v>
      </c>
      <c r="HK22" t="e">
        <f>AND(#REF!,"AAAAAG/5l9o=")</f>
        <v>#REF!</v>
      </c>
      <c r="HL22" t="e">
        <f>AND(#REF!,"AAAAAG/5l9s=")</f>
        <v>#REF!</v>
      </c>
      <c r="HM22" t="e">
        <f>AND(#REF!,"AAAAAG/5l9w=")</f>
        <v>#REF!</v>
      </c>
      <c r="HN22" t="e">
        <f>AND(#REF!,"AAAAAG/5l90=")</f>
        <v>#REF!</v>
      </c>
      <c r="HO22" t="e">
        <f>IF(#REF!,"AAAAAG/5l94=",0)</f>
        <v>#REF!</v>
      </c>
      <c r="HP22" t="e">
        <f>AND(#REF!,"AAAAAG/5l98=")</f>
        <v>#REF!</v>
      </c>
      <c r="HQ22" t="e">
        <f>AND(#REF!,"AAAAAG/5l+A=")</f>
        <v>#REF!</v>
      </c>
      <c r="HR22" t="e">
        <f>AND(#REF!,"AAAAAG/5l+E=")</f>
        <v>#REF!</v>
      </c>
      <c r="HS22" t="e">
        <f>AND(#REF!,"AAAAAG/5l+I=")</f>
        <v>#REF!</v>
      </c>
      <c r="HT22" t="e">
        <f>AND(#REF!,"AAAAAG/5l+M=")</f>
        <v>#REF!</v>
      </c>
      <c r="HU22" t="e">
        <f>AND(#REF!,"AAAAAG/5l+Q=")</f>
        <v>#REF!</v>
      </c>
      <c r="HV22" t="e">
        <f>AND(#REF!,"AAAAAG/5l+U=")</f>
        <v>#REF!</v>
      </c>
      <c r="HW22" t="e">
        <f>AND(#REF!,"AAAAAG/5l+Y=")</f>
        <v>#REF!</v>
      </c>
      <c r="HX22" t="e">
        <f>AND(#REF!,"AAAAAG/5l+c=")</f>
        <v>#REF!</v>
      </c>
      <c r="HY22" t="e">
        <f>AND(#REF!,"AAAAAG/5l+g=")</f>
        <v>#REF!</v>
      </c>
      <c r="HZ22" t="e">
        <f>AND(#REF!,"AAAAAG/5l+k=")</f>
        <v>#REF!</v>
      </c>
      <c r="IA22" t="e">
        <f>AND(#REF!,"AAAAAG/5l+o=")</f>
        <v>#REF!</v>
      </c>
      <c r="IB22" t="e">
        <f>AND(#REF!,"AAAAAG/5l+s=")</f>
        <v>#REF!</v>
      </c>
      <c r="IC22" t="e">
        <f>AND(#REF!,"AAAAAG/5l+w=")</f>
        <v>#REF!</v>
      </c>
      <c r="ID22" t="e">
        <f>AND(#REF!,"AAAAAG/5l+0=")</f>
        <v>#REF!</v>
      </c>
      <c r="IE22" t="e">
        <f>AND(#REF!,"AAAAAG/5l+4=")</f>
        <v>#REF!</v>
      </c>
      <c r="IF22" t="e">
        <f>AND(#REF!,"AAAAAG/5l+8=")</f>
        <v>#REF!</v>
      </c>
      <c r="IG22" t="e">
        <f>AND(#REF!,"AAAAAG/5l/A=")</f>
        <v>#REF!</v>
      </c>
      <c r="IH22" t="e">
        <f>AND(#REF!,"AAAAAG/5l/E=")</f>
        <v>#REF!</v>
      </c>
      <c r="II22" t="e">
        <f>AND(#REF!,"AAAAAG/5l/I=")</f>
        <v>#REF!</v>
      </c>
      <c r="IJ22" t="e">
        <f>AND(#REF!,"AAAAAG/5l/M=")</f>
        <v>#REF!</v>
      </c>
      <c r="IK22" t="e">
        <f>AND(#REF!,"AAAAAG/5l/Q=")</f>
        <v>#REF!</v>
      </c>
      <c r="IL22" t="e">
        <f>AND(#REF!,"AAAAAG/5l/U=")</f>
        <v>#REF!</v>
      </c>
      <c r="IM22" t="e">
        <f>AND(#REF!,"AAAAAG/5l/Y=")</f>
        <v>#REF!</v>
      </c>
      <c r="IN22" t="e">
        <f>AND(#REF!,"AAAAAG/5l/c=")</f>
        <v>#REF!</v>
      </c>
      <c r="IO22" t="e">
        <f>AND(#REF!,"AAAAAG/5l/g=")</f>
        <v>#REF!</v>
      </c>
      <c r="IP22" t="e">
        <f>AND(#REF!,"AAAAAG/5l/k=")</f>
        <v>#REF!</v>
      </c>
      <c r="IQ22" t="e">
        <f>AND(#REF!,"AAAAAG/5l/o=")</f>
        <v>#REF!</v>
      </c>
      <c r="IR22" t="e">
        <f>AND(#REF!,"AAAAAG/5l/s=")</f>
        <v>#REF!</v>
      </c>
      <c r="IS22" t="e">
        <f>AND(#REF!,"AAAAAG/5l/w=")</f>
        <v>#REF!</v>
      </c>
      <c r="IT22" t="e">
        <f>AND(#REF!,"AAAAAG/5l/0=")</f>
        <v>#REF!</v>
      </c>
      <c r="IU22" t="e">
        <f>AND(#REF!,"AAAAAG/5l/4=")</f>
        <v>#REF!</v>
      </c>
      <c r="IV22" t="e">
        <f>IF(#REF!,"AAAAAG/5l/8=",0)</f>
        <v>#REF!</v>
      </c>
    </row>
    <row r="23" spans="1:256" x14ac:dyDescent="0.2">
      <c r="A23" t="e">
        <f>AND(#REF!,"AAAAABS9VwA=")</f>
        <v>#REF!</v>
      </c>
      <c r="B23" t="e">
        <f>AND(#REF!,"AAAAABS9VwE=")</f>
        <v>#REF!</v>
      </c>
      <c r="C23" t="e">
        <f>AND(#REF!,"AAAAABS9VwI=")</f>
        <v>#REF!</v>
      </c>
      <c r="D23" t="e">
        <f>AND(#REF!,"AAAAABS9VwM=")</f>
        <v>#REF!</v>
      </c>
      <c r="E23" t="e">
        <f>AND(#REF!,"AAAAABS9VwQ=")</f>
        <v>#REF!</v>
      </c>
      <c r="F23" t="e">
        <f>AND(#REF!,"AAAAABS9VwU=")</f>
        <v>#REF!</v>
      </c>
      <c r="G23" t="e">
        <f>AND(#REF!,"AAAAABS9VwY=")</f>
        <v>#REF!</v>
      </c>
      <c r="H23" t="e">
        <f>AND(#REF!,"AAAAABS9Vwc=")</f>
        <v>#REF!</v>
      </c>
      <c r="I23" t="e">
        <f>AND(#REF!,"AAAAABS9Vwg=")</f>
        <v>#REF!</v>
      </c>
      <c r="J23" t="e">
        <f>AND(#REF!,"AAAAABS9Vwk=")</f>
        <v>#REF!</v>
      </c>
      <c r="K23" t="e">
        <f>AND(#REF!,"AAAAABS9Vwo=")</f>
        <v>#REF!</v>
      </c>
      <c r="L23" t="e">
        <f>AND(#REF!,"AAAAABS9Vws=")</f>
        <v>#REF!</v>
      </c>
      <c r="M23" t="e">
        <f>AND(#REF!,"AAAAABS9Vww=")</f>
        <v>#REF!</v>
      </c>
      <c r="N23" t="e">
        <f>AND(#REF!,"AAAAABS9Vw0=")</f>
        <v>#REF!</v>
      </c>
      <c r="O23" t="e">
        <f>AND(#REF!,"AAAAABS9Vw4=")</f>
        <v>#REF!</v>
      </c>
      <c r="P23" t="e">
        <f>AND(#REF!,"AAAAABS9Vw8=")</f>
        <v>#REF!</v>
      </c>
      <c r="Q23" t="e">
        <f>AND(#REF!,"AAAAABS9VxA=")</f>
        <v>#REF!</v>
      </c>
      <c r="R23" t="e">
        <f>AND(#REF!,"AAAAABS9VxE=")</f>
        <v>#REF!</v>
      </c>
      <c r="S23" t="e">
        <f>AND(#REF!,"AAAAABS9VxI=")</f>
        <v>#REF!</v>
      </c>
      <c r="T23" t="e">
        <f>AND(#REF!,"AAAAABS9VxM=")</f>
        <v>#REF!</v>
      </c>
      <c r="U23" t="e">
        <f>AND(#REF!,"AAAAABS9VxQ=")</f>
        <v>#REF!</v>
      </c>
      <c r="V23" t="e">
        <f>AND(#REF!,"AAAAABS9VxU=")</f>
        <v>#REF!</v>
      </c>
      <c r="W23" t="e">
        <f>AND(#REF!,"AAAAABS9VxY=")</f>
        <v>#REF!</v>
      </c>
      <c r="X23" t="e">
        <f>AND(#REF!,"AAAAABS9Vxc=")</f>
        <v>#REF!</v>
      </c>
      <c r="Y23" t="e">
        <f>AND(#REF!,"AAAAABS9Vxg=")</f>
        <v>#REF!</v>
      </c>
      <c r="Z23" t="e">
        <f>AND(#REF!,"AAAAABS9Vxk=")</f>
        <v>#REF!</v>
      </c>
      <c r="AA23" t="e">
        <f>AND(#REF!,"AAAAABS9Vxo=")</f>
        <v>#REF!</v>
      </c>
      <c r="AB23" t="e">
        <f>AND(#REF!,"AAAAABS9Vxs=")</f>
        <v>#REF!</v>
      </c>
      <c r="AC23" t="e">
        <f>AND(#REF!,"AAAAABS9Vxw=")</f>
        <v>#REF!</v>
      </c>
      <c r="AD23" t="e">
        <f>AND(#REF!,"AAAAABS9Vx0=")</f>
        <v>#REF!</v>
      </c>
      <c r="AE23" t="e">
        <f>AND(#REF!,"AAAAABS9Vx4=")</f>
        <v>#REF!</v>
      </c>
      <c r="AF23" t="e">
        <f>AND(#REF!,"AAAAABS9Vx8=")</f>
        <v>#REF!</v>
      </c>
      <c r="AG23" t="e">
        <f>IF(#REF!,"AAAAABS9VyA=",0)</f>
        <v>#REF!</v>
      </c>
      <c r="AH23" t="e">
        <f>AND(#REF!,"AAAAABS9VyE=")</f>
        <v>#REF!</v>
      </c>
      <c r="AI23" t="e">
        <f>AND(#REF!,"AAAAABS9VyI=")</f>
        <v>#REF!</v>
      </c>
      <c r="AJ23" t="e">
        <f>AND(#REF!,"AAAAABS9VyM=")</f>
        <v>#REF!</v>
      </c>
      <c r="AK23" t="e">
        <f>AND(#REF!,"AAAAABS9VyQ=")</f>
        <v>#REF!</v>
      </c>
      <c r="AL23" t="e">
        <f>AND(#REF!,"AAAAABS9VyU=")</f>
        <v>#REF!</v>
      </c>
      <c r="AM23" t="e">
        <f>AND(#REF!,"AAAAABS9VyY=")</f>
        <v>#REF!</v>
      </c>
      <c r="AN23" t="e">
        <f>AND(#REF!,"AAAAABS9Vyc=")</f>
        <v>#REF!</v>
      </c>
      <c r="AO23" t="e">
        <f>AND(#REF!,"AAAAABS9Vyg=")</f>
        <v>#REF!</v>
      </c>
      <c r="AP23" t="e">
        <f>AND(#REF!,"AAAAABS9Vyk=")</f>
        <v>#REF!</v>
      </c>
      <c r="AQ23" t="e">
        <f>AND(#REF!,"AAAAABS9Vyo=")</f>
        <v>#REF!</v>
      </c>
      <c r="AR23" t="e">
        <f>AND(#REF!,"AAAAABS9Vys=")</f>
        <v>#REF!</v>
      </c>
      <c r="AS23" t="e">
        <f>AND(#REF!,"AAAAABS9Vyw=")</f>
        <v>#REF!</v>
      </c>
      <c r="AT23" t="e">
        <f>AND(#REF!,"AAAAABS9Vy0=")</f>
        <v>#REF!</v>
      </c>
      <c r="AU23" t="e">
        <f>AND(#REF!,"AAAAABS9Vy4=")</f>
        <v>#REF!</v>
      </c>
      <c r="AV23" t="e">
        <f>AND(#REF!,"AAAAABS9Vy8=")</f>
        <v>#REF!</v>
      </c>
      <c r="AW23" t="e">
        <f>AND(#REF!,"AAAAABS9VzA=")</f>
        <v>#REF!</v>
      </c>
      <c r="AX23" t="e">
        <f>AND(#REF!,"AAAAABS9VzE=")</f>
        <v>#REF!</v>
      </c>
      <c r="AY23" t="e">
        <f>AND(#REF!,"AAAAABS9VzI=")</f>
        <v>#REF!</v>
      </c>
      <c r="AZ23" t="e">
        <f>AND(#REF!,"AAAAABS9VzM=")</f>
        <v>#REF!</v>
      </c>
      <c r="BA23" t="e">
        <f>AND(#REF!,"AAAAABS9VzQ=")</f>
        <v>#REF!</v>
      </c>
      <c r="BB23" t="e">
        <f>AND(#REF!,"AAAAABS9VzU=")</f>
        <v>#REF!</v>
      </c>
      <c r="BC23" t="e">
        <f>AND(#REF!,"AAAAABS9VzY=")</f>
        <v>#REF!</v>
      </c>
      <c r="BD23" t="e">
        <f>AND(#REF!,"AAAAABS9Vzc=")</f>
        <v>#REF!</v>
      </c>
      <c r="BE23" t="e">
        <f>AND(#REF!,"AAAAABS9Vzg=")</f>
        <v>#REF!</v>
      </c>
      <c r="BF23" t="e">
        <f>AND(#REF!,"AAAAABS9Vzk=")</f>
        <v>#REF!</v>
      </c>
      <c r="BG23" t="e">
        <f>AND(#REF!,"AAAAABS9Vzo=")</f>
        <v>#REF!</v>
      </c>
      <c r="BH23" t="e">
        <f>AND(#REF!,"AAAAABS9Vzs=")</f>
        <v>#REF!</v>
      </c>
      <c r="BI23" t="e">
        <f>AND(#REF!,"AAAAABS9Vzw=")</f>
        <v>#REF!</v>
      </c>
      <c r="BJ23" t="e">
        <f>AND(#REF!,"AAAAABS9Vz0=")</f>
        <v>#REF!</v>
      </c>
      <c r="BK23" t="e">
        <f>AND(#REF!,"AAAAABS9Vz4=")</f>
        <v>#REF!</v>
      </c>
      <c r="BL23" t="e">
        <f>AND(#REF!,"AAAAABS9Vz8=")</f>
        <v>#REF!</v>
      </c>
      <c r="BM23" t="e">
        <f>AND(#REF!,"AAAAABS9V0A=")</f>
        <v>#REF!</v>
      </c>
      <c r="BN23" t="e">
        <f>IF(#REF!,"AAAAABS9V0E=",0)</f>
        <v>#REF!</v>
      </c>
      <c r="BO23" t="e">
        <f>AND(#REF!,"AAAAABS9V0I=")</f>
        <v>#REF!</v>
      </c>
      <c r="BP23" t="e">
        <f>AND(#REF!,"AAAAABS9V0M=")</f>
        <v>#REF!</v>
      </c>
      <c r="BQ23" t="e">
        <f>AND(#REF!,"AAAAABS9V0Q=")</f>
        <v>#REF!</v>
      </c>
      <c r="BR23" t="e">
        <f>AND(#REF!,"AAAAABS9V0U=")</f>
        <v>#REF!</v>
      </c>
      <c r="BS23" t="e">
        <f>AND(#REF!,"AAAAABS9V0Y=")</f>
        <v>#REF!</v>
      </c>
      <c r="BT23" t="e">
        <f>AND(#REF!,"AAAAABS9V0c=")</f>
        <v>#REF!</v>
      </c>
      <c r="BU23" t="e">
        <f>AND(#REF!,"AAAAABS9V0g=")</f>
        <v>#REF!</v>
      </c>
      <c r="BV23" t="e">
        <f>AND(#REF!,"AAAAABS9V0k=")</f>
        <v>#REF!</v>
      </c>
      <c r="BW23" t="e">
        <f>AND(#REF!,"AAAAABS9V0o=")</f>
        <v>#REF!</v>
      </c>
      <c r="BX23" t="e">
        <f>AND(#REF!,"AAAAABS9V0s=")</f>
        <v>#REF!</v>
      </c>
      <c r="BY23" t="e">
        <f>AND(#REF!,"AAAAABS9V0w=")</f>
        <v>#REF!</v>
      </c>
      <c r="BZ23" t="e">
        <f>AND(#REF!,"AAAAABS9V00=")</f>
        <v>#REF!</v>
      </c>
      <c r="CA23" t="e">
        <f>AND(#REF!,"AAAAABS9V04=")</f>
        <v>#REF!</v>
      </c>
      <c r="CB23" t="e">
        <f>AND(#REF!,"AAAAABS9V08=")</f>
        <v>#REF!</v>
      </c>
      <c r="CC23" t="e">
        <f>AND(#REF!,"AAAAABS9V1A=")</f>
        <v>#REF!</v>
      </c>
      <c r="CD23" t="e">
        <f>AND(#REF!,"AAAAABS9V1E=")</f>
        <v>#REF!</v>
      </c>
      <c r="CE23" t="e">
        <f>AND(#REF!,"AAAAABS9V1I=")</f>
        <v>#REF!</v>
      </c>
      <c r="CF23" t="e">
        <f>AND(#REF!,"AAAAABS9V1M=")</f>
        <v>#REF!</v>
      </c>
      <c r="CG23" t="e">
        <f>AND(#REF!,"AAAAABS9V1Q=")</f>
        <v>#REF!</v>
      </c>
      <c r="CH23" t="e">
        <f>AND(#REF!,"AAAAABS9V1U=")</f>
        <v>#REF!</v>
      </c>
      <c r="CI23" t="e">
        <f>AND(#REF!,"AAAAABS9V1Y=")</f>
        <v>#REF!</v>
      </c>
      <c r="CJ23" t="e">
        <f>AND(#REF!,"AAAAABS9V1c=")</f>
        <v>#REF!</v>
      </c>
      <c r="CK23" t="e">
        <f>AND(#REF!,"AAAAABS9V1g=")</f>
        <v>#REF!</v>
      </c>
      <c r="CL23" t="e">
        <f>AND(#REF!,"AAAAABS9V1k=")</f>
        <v>#REF!</v>
      </c>
      <c r="CM23" t="e">
        <f>AND(#REF!,"AAAAABS9V1o=")</f>
        <v>#REF!</v>
      </c>
      <c r="CN23" t="e">
        <f>AND(#REF!,"AAAAABS9V1s=")</f>
        <v>#REF!</v>
      </c>
      <c r="CO23" t="e">
        <f>AND(#REF!,"AAAAABS9V1w=")</f>
        <v>#REF!</v>
      </c>
      <c r="CP23" t="e">
        <f>AND(#REF!,"AAAAABS9V10=")</f>
        <v>#REF!</v>
      </c>
      <c r="CQ23" t="e">
        <f>AND(#REF!,"AAAAABS9V14=")</f>
        <v>#REF!</v>
      </c>
      <c r="CR23" t="e">
        <f>AND(#REF!,"AAAAABS9V18=")</f>
        <v>#REF!</v>
      </c>
      <c r="CS23" t="e">
        <f>AND(#REF!,"AAAAABS9V2A=")</f>
        <v>#REF!</v>
      </c>
      <c r="CT23" t="e">
        <f>AND(#REF!,"AAAAABS9V2E=")</f>
        <v>#REF!</v>
      </c>
      <c r="CU23" t="e">
        <f>IF(#REF!,"AAAAABS9V2I=",0)</f>
        <v>#REF!</v>
      </c>
      <c r="CV23" t="e">
        <f>AND(#REF!,"AAAAABS9V2M=")</f>
        <v>#REF!</v>
      </c>
      <c r="CW23" t="e">
        <f>AND(#REF!,"AAAAABS9V2Q=")</f>
        <v>#REF!</v>
      </c>
      <c r="CX23" t="e">
        <f>AND(#REF!,"AAAAABS9V2U=")</f>
        <v>#REF!</v>
      </c>
      <c r="CY23" t="e">
        <f>AND(#REF!,"AAAAABS9V2Y=")</f>
        <v>#REF!</v>
      </c>
      <c r="CZ23" t="e">
        <f>AND(#REF!,"AAAAABS9V2c=")</f>
        <v>#REF!</v>
      </c>
      <c r="DA23" t="e">
        <f>AND(#REF!,"AAAAABS9V2g=")</f>
        <v>#REF!</v>
      </c>
      <c r="DB23" t="e">
        <f>AND(#REF!,"AAAAABS9V2k=")</f>
        <v>#REF!</v>
      </c>
      <c r="DC23" t="e">
        <f>AND(#REF!,"AAAAABS9V2o=")</f>
        <v>#REF!</v>
      </c>
      <c r="DD23" t="e">
        <f>AND(#REF!,"AAAAABS9V2s=")</f>
        <v>#REF!</v>
      </c>
      <c r="DE23" t="e">
        <f>AND(#REF!,"AAAAABS9V2w=")</f>
        <v>#REF!</v>
      </c>
      <c r="DF23" t="e">
        <f>AND(#REF!,"AAAAABS9V20=")</f>
        <v>#REF!</v>
      </c>
      <c r="DG23" t="e">
        <f>AND(#REF!,"AAAAABS9V24=")</f>
        <v>#REF!</v>
      </c>
      <c r="DH23" t="e">
        <f>AND(#REF!,"AAAAABS9V28=")</f>
        <v>#REF!</v>
      </c>
      <c r="DI23" t="e">
        <f>AND(#REF!,"AAAAABS9V3A=")</f>
        <v>#REF!</v>
      </c>
      <c r="DJ23" t="e">
        <f>AND(#REF!,"AAAAABS9V3E=")</f>
        <v>#REF!</v>
      </c>
      <c r="DK23" t="e">
        <f>AND(#REF!,"AAAAABS9V3I=")</f>
        <v>#REF!</v>
      </c>
      <c r="DL23" t="e">
        <f>AND(#REF!,"AAAAABS9V3M=")</f>
        <v>#REF!</v>
      </c>
      <c r="DM23" t="e">
        <f>AND(#REF!,"AAAAABS9V3Q=")</f>
        <v>#REF!</v>
      </c>
      <c r="DN23" t="e">
        <f>AND(#REF!,"AAAAABS9V3U=")</f>
        <v>#REF!</v>
      </c>
      <c r="DO23" t="e">
        <f>AND(#REF!,"AAAAABS9V3Y=")</f>
        <v>#REF!</v>
      </c>
      <c r="DP23" t="e">
        <f>AND(#REF!,"AAAAABS9V3c=")</f>
        <v>#REF!</v>
      </c>
      <c r="DQ23" t="e">
        <f>AND(#REF!,"AAAAABS9V3g=")</f>
        <v>#REF!</v>
      </c>
      <c r="DR23" t="e">
        <f>AND(#REF!,"AAAAABS9V3k=")</f>
        <v>#REF!</v>
      </c>
      <c r="DS23" t="e">
        <f>AND(#REF!,"AAAAABS9V3o=")</f>
        <v>#REF!</v>
      </c>
      <c r="DT23" t="e">
        <f>AND(#REF!,"AAAAABS9V3s=")</f>
        <v>#REF!</v>
      </c>
      <c r="DU23" t="e">
        <f>AND(#REF!,"AAAAABS9V3w=")</f>
        <v>#REF!</v>
      </c>
      <c r="DV23" t="e">
        <f>AND(#REF!,"AAAAABS9V30=")</f>
        <v>#REF!</v>
      </c>
      <c r="DW23" t="e">
        <f>AND(#REF!,"AAAAABS9V34=")</f>
        <v>#REF!</v>
      </c>
      <c r="DX23" t="e">
        <f>AND(#REF!,"AAAAABS9V38=")</f>
        <v>#REF!</v>
      </c>
      <c r="DY23" t="e">
        <f>AND(#REF!,"AAAAABS9V4A=")</f>
        <v>#REF!</v>
      </c>
      <c r="DZ23" t="e">
        <f>AND(#REF!,"AAAAABS9V4E=")</f>
        <v>#REF!</v>
      </c>
      <c r="EA23" t="e">
        <f>AND(#REF!,"AAAAABS9V4I=")</f>
        <v>#REF!</v>
      </c>
      <c r="EB23" t="e">
        <f>IF(#REF!,"AAAAABS9V4M=",0)</f>
        <v>#REF!</v>
      </c>
      <c r="EC23" t="e">
        <f>AND(#REF!,"AAAAABS9V4Q=")</f>
        <v>#REF!</v>
      </c>
      <c r="ED23" t="e">
        <f>AND(#REF!,"AAAAABS9V4U=")</f>
        <v>#REF!</v>
      </c>
      <c r="EE23" t="e">
        <f>AND(#REF!,"AAAAABS9V4Y=")</f>
        <v>#REF!</v>
      </c>
      <c r="EF23" t="e">
        <f>AND(#REF!,"AAAAABS9V4c=")</f>
        <v>#REF!</v>
      </c>
      <c r="EG23" t="e">
        <f>AND(#REF!,"AAAAABS9V4g=")</f>
        <v>#REF!</v>
      </c>
      <c r="EH23" t="e">
        <f>AND(#REF!,"AAAAABS9V4k=")</f>
        <v>#REF!</v>
      </c>
      <c r="EI23" t="e">
        <f>AND(#REF!,"AAAAABS9V4o=")</f>
        <v>#REF!</v>
      </c>
      <c r="EJ23" t="e">
        <f>AND(#REF!,"AAAAABS9V4s=")</f>
        <v>#REF!</v>
      </c>
      <c r="EK23" t="e">
        <f>AND(#REF!,"AAAAABS9V4w=")</f>
        <v>#REF!</v>
      </c>
      <c r="EL23" t="e">
        <f>AND(#REF!,"AAAAABS9V40=")</f>
        <v>#REF!</v>
      </c>
      <c r="EM23" t="e">
        <f>AND(#REF!,"AAAAABS9V44=")</f>
        <v>#REF!</v>
      </c>
      <c r="EN23" t="e">
        <f>AND(#REF!,"AAAAABS9V48=")</f>
        <v>#REF!</v>
      </c>
      <c r="EO23" t="e">
        <f>AND(#REF!,"AAAAABS9V5A=")</f>
        <v>#REF!</v>
      </c>
      <c r="EP23" t="e">
        <f>AND(#REF!,"AAAAABS9V5E=")</f>
        <v>#REF!</v>
      </c>
      <c r="EQ23" t="e">
        <f>AND(#REF!,"AAAAABS9V5I=")</f>
        <v>#REF!</v>
      </c>
      <c r="ER23" t="e">
        <f>AND(#REF!,"AAAAABS9V5M=")</f>
        <v>#REF!</v>
      </c>
      <c r="ES23" t="e">
        <f>AND(#REF!,"AAAAABS9V5Q=")</f>
        <v>#REF!</v>
      </c>
      <c r="ET23" t="e">
        <f>AND(#REF!,"AAAAABS9V5U=")</f>
        <v>#REF!</v>
      </c>
      <c r="EU23" t="e">
        <f>AND(#REF!,"AAAAABS9V5Y=")</f>
        <v>#REF!</v>
      </c>
      <c r="EV23" t="e">
        <f>AND(#REF!,"AAAAABS9V5c=")</f>
        <v>#REF!</v>
      </c>
      <c r="EW23" t="e">
        <f>AND(#REF!,"AAAAABS9V5g=")</f>
        <v>#REF!</v>
      </c>
      <c r="EX23" t="e">
        <f>AND(#REF!,"AAAAABS9V5k=")</f>
        <v>#REF!</v>
      </c>
      <c r="EY23" t="e">
        <f>AND(#REF!,"AAAAABS9V5o=")</f>
        <v>#REF!</v>
      </c>
      <c r="EZ23" t="e">
        <f>AND(#REF!,"AAAAABS9V5s=")</f>
        <v>#REF!</v>
      </c>
      <c r="FA23" t="e">
        <f>AND(#REF!,"AAAAABS9V5w=")</f>
        <v>#REF!</v>
      </c>
      <c r="FB23" t="e">
        <f>AND(#REF!,"AAAAABS9V50=")</f>
        <v>#REF!</v>
      </c>
      <c r="FC23" t="e">
        <f>AND(#REF!,"AAAAABS9V54=")</f>
        <v>#REF!</v>
      </c>
      <c r="FD23" t="e">
        <f>AND(#REF!,"AAAAABS9V58=")</f>
        <v>#REF!</v>
      </c>
      <c r="FE23" t="e">
        <f>AND(#REF!,"AAAAABS9V6A=")</f>
        <v>#REF!</v>
      </c>
      <c r="FF23" t="e">
        <f>AND(#REF!,"AAAAABS9V6E=")</f>
        <v>#REF!</v>
      </c>
      <c r="FG23" t="e">
        <f>AND(#REF!,"AAAAABS9V6I=")</f>
        <v>#REF!</v>
      </c>
      <c r="FH23" t="e">
        <f>AND(#REF!,"AAAAABS9V6M=")</f>
        <v>#REF!</v>
      </c>
      <c r="FI23" t="e">
        <f>IF(#REF!,"AAAAABS9V6Q=",0)</f>
        <v>#REF!</v>
      </c>
      <c r="FJ23" t="e">
        <f>AND(#REF!,"AAAAABS9V6U=")</f>
        <v>#REF!</v>
      </c>
      <c r="FK23" t="e">
        <f>AND(#REF!,"AAAAABS9V6Y=")</f>
        <v>#REF!</v>
      </c>
      <c r="FL23" t="e">
        <f>AND(#REF!,"AAAAABS9V6c=")</f>
        <v>#REF!</v>
      </c>
      <c r="FM23" t="e">
        <f>AND(#REF!,"AAAAABS9V6g=")</f>
        <v>#REF!</v>
      </c>
      <c r="FN23" t="e">
        <f>AND(#REF!,"AAAAABS9V6k=")</f>
        <v>#REF!</v>
      </c>
      <c r="FO23" t="e">
        <f>AND(#REF!,"AAAAABS9V6o=")</f>
        <v>#REF!</v>
      </c>
      <c r="FP23" t="e">
        <f>AND(#REF!,"AAAAABS9V6s=")</f>
        <v>#REF!</v>
      </c>
      <c r="FQ23" t="e">
        <f>AND(#REF!,"AAAAABS9V6w=")</f>
        <v>#REF!</v>
      </c>
      <c r="FR23" t="e">
        <f>AND(#REF!,"AAAAABS9V60=")</f>
        <v>#REF!</v>
      </c>
      <c r="FS23" t="e">
        <f>AND(#REF!,"AAAAABS9V64=")</f>
        <v>#REF!</v>
      </c>
      <c r="FT23" t="e">
        <f>AND(#REF!,"AAAAABS9V68=")</f>
        <v>#REF!</v>
      </c>
      <c r="FU23" t="e">
        <f>AND(#REF!,"AAAAABS9V7A=")</f>
        <v>#REF!</v>
      </c>
      <c r="FV23" t="e">
        <f>AND(#REF!,"AAAAABS9V7E=")</f>
        <v>#REF!</v>
      </c>
      <c r="FW23" t="e">
        <f>AND(#REF!,"AAAAABS9V7I=")</f>
        <v>#REF!</v>
      </c>
      <c r="FX23" t="e">
        <f>AND(#REF!,"AAAAABS9V7M=")</f>
        <v>#REF!</v>
      </c>
      <c r="FY23" t="e">
        <f>AND(#REF!,"AAAAABS9V7Q=")</f>
        <v>#REF!</v>
      </c>
      <c r="FZ23" t="e">
        <f>AND(#REF!,"AAAAABS9V7U=")</f>
        <v>#REF!</v>
      </c>
      <c r="GA23" t="e">
        <f>AND(#REF!,"AAAAABS9V7Y=")</f>
        <v>#REF!</v>
      </c>
      <c r="GB23" t="e">
        <f>AND(#REF!,"AAAAABS9V7c=")</f>
        <v>#REF!</v>
      </c>
      <c r="GC23" t="e">
        <f>AND(#REF!,"AAAAABS9V7g=")</f>
        <v>#REF!</v>
      </c>
      <c r="GD23" t="e">
        <f>AND(#REF!,"AAAAABS9V7k=")</f>
        <v>#REF!</v>
      </c>
      <c r="GE23" t="e">
        <f>AND(#REF!,"AAAAABS9V7o=")</f>
        <v>#REF!</v>
      </c>
      <c r="GF23" t="e">
        <f>AND(#REF!,"AAAAABS9V7s=")</f>
        <v>#REF!</v>
      </c>
      <c r="GG23" t="e">
        <f>AND(#REF!,"AAAAABS9V7w=")</f>
        <v>#REF!</v>
      </c>
      <c r="GH23" t="e">
        <f>AND(#REF!,"AAAAABS9V70=")</f>
        <v>#REF!</v>
      </c>
      <c r="GI23" t="e">
        <f>AND(#REF!,"AAAAABS9V74=")</f>
        <v>#REF!</v>
      </c>
      <c r="GJ23" t="e">
        <f>AND(#REF!,"AAAAABS9V78=")</f>
        <v>#REF!</v>
      </c>
      <c r="GK23" t="e">
        <f>AND(#REF!,"AAAAABS9V8A=")</f>
        <v>#REF!</v>
      </c>
      <c r="GL23" t="e">
        <f>AND(#REF!,"AAAAABS9V8E=")</f>
        <v>#REF!</v>
      </c>
      <c r="GM23" t="e">
        <f>AND(#REF!,"AAAAABS9V8I=")</f>
        <v>#REF!</v>
      </c>
      <c r="GN23" t="e">
        <f>AND(#REF!,"AAAAABS9V8M=")</f>
        <v>#REF!</v>
      </c>
      <c r="GO23" t="e">
        <f>AND(#REF!,"AAAAABS9V8Q=")</f>
        <v>#REF!</v>
      </c>
      <c r="GP23" t="e">
        <f>IF(#REF!,"AAAAABS9V8U=",0)</f>
        <v>#REF!</v>
      </c>
      <c r="GQ23" t="e">
        <f>AND(#REF!,"AAAAABS9V8Y=")</f>
        <v>#REF!</v>
      </c>
      <c r="GR23" t="e">
        <f>AND(#REF!,"AAAAABS9V8c=")</f>
        <v>#REF!</v>
      </c>
      <c r="GS23" t="e">
        <f>AND(#REF!,"AAAAABS9V8g=")</f>
        <v>#REF!</v>
      </c>
      <c r="GT23" t="e">
        <f>AND(#REF!,"AAAAABS9V8k=")</f>
        <v>#REF!</v>
      </c>
      <c r="GU23" t="e">
        <f>AND(#REF!,"AAAAABS9V8o=")</f>
        <v>#REF!</v>
      </c>
      <c r="GV23" t="e">
        <f>AND(#REF!,"AAAAABS9V8s=")</f>
        <v>#REF!</v>
      </c>
      <c r="GW23" t="e">
        <f>AND(#REF!,"AAAAABS9V8w=")</f>
        <v>#REF!</v>
      </c>
      <c r="GX23" t="e">
        <f>AND(#REF!,"AAAAABS9V80=")</f>
        <v>#REF!</v>
      </c>
      <c r="GY23" t="e">
        <f>AND(#REF!,"AAAAABS9V84=")</f>
        <v>#REF!</v>
      </c>
      <c r="GZ23" t="e">
        <f>AND(#REF!,"AAAAABS9V88=")</f>
        <v>#REF!</v>
      </c>
      <c r="HA23" t="e">
        <f>AND(#REF!,"AAAAABS9V9A=")</f>
        <v>#REF!</v>
      </c>
      <c r="HB23" t="e">
        <f>AND(#REF!,"AAAAABS9V9E=")</f>
        <v>#REF!</v>
      </c>
      <c r="HC23" t="e">
        <f>AND(#REF!,"AAAAABS9V9I=")</f>
        <v>#REF!</v>
      </c>
      <c r="HD23" t="e">
        <f>AND(#REF!,"AAAAABS9V9M=")</f>
        <v>#REF!</v>
      </c>
      <c r="HE23" t="e">
        <f>AND(#REF!,"AAAAABS9V9Q=")</f>
        <v>#REF!</v>
      </c>
      <c r="HF23" t="e">
        <f>AND(#REF!,"AAAAABS9V9U=")</f>
        <v>#REF!</v>
      </c>
      <c r="HG23" t="e">
        <f>AND(#REF!,"AAAAABS9V9Y=")</f>
        <v>#REF!</v>
      </c>
      <c r="HH23" t="e">
        <f>AND(#REF!,"AAAAABS9V9c=")</f>
        <v>#REF!</v>
      </c>
      <c r="HI23" t="e">
        <f>AND(#REF!,"AAAAABS9V9g=")</f>
        <v>#REF!</v>
      </c>
      <c r="HJ23" t="e">
        <f>AND(#REF!,"AAAAABS9V9k=")</f>
        <v>#REF!</v>
      </c>
      <c r="HK23" t="e">
        <f>AND(#REF!,"AAAAABS9V9o=")</f>
        <v>#REF!</v>
      </c>
      <c r="HL23" t="e">
        <f>AND(#REF!,"AAAAABS9V9s=")</f>
        <v>#REF!</v>
      </c>
      <c r="HM23" t="e">
        <f>AND(#REF!,"AAAAABS9V9w=")</f>
        <v>#REF!</v>
      </c>
      <c r="HN23" t="e">
        <f>AND(#REF!,"AAAAABS9V90=")</f>
        <v>#REF!</v>
      </c>
      <c r="HO23" t="e">
        <f>AND(#REF!,"AAAAABS9V94=")</f>
        <v>#REF!</v>
      </c>
      <c r="HP23" t="e">
        <f>AND(#REF!,"AAAAABS9V98=")</f>
        <v>#REF!</v>
      </c>
      <c r="HQ23" t="e">
        <f>AND(#REF!,"AAAAABS9V+A=")</f>
        <v>#REF!</v>
      </c>
      <c r="HR23" t="e">
        <f>AND(#REF!,"AAAAABS9V+E=")</f>
        <v>#REF!</v>
      </c>
      <c r="HS23" t="e">
        <f>AND(#REF!,"AAAAABS9V+I=")</f>
        <v>#REF!</v>
      </c>
      <c r="HT23" t="e">
        <f>AND(#REF!,"AAAAABS9V+M=")</f>
        <v>#REF!</v>
      </c>
      <c r="HU23" t="e">
        <f>AND(#REF!,"AAAAABS9V+Q=")</f>
        <v>#REF!</v>
      </c>
      <c r="HV23" t="e">
        <f>AND(#REF!,"AAAAABS9V+U=")</f>
        <v>#REF!</v>
      </c>
      <c r="HW23" t="e">
        <f>IF(#REF!,"AAAAABS9V+Y=",0)</f>
        <v>#REF!</v>
      </c>
      <c r="HX23" t="e">
        <f>AND(#REF!,"AAAAABS9V+c=")</f>
        <v>#REF!</v>
      </c>
      <c r="HY23" t="e">
        <f>AND(#REF!,"AAAAABS9V+g=")</f>
        <v>#REF!</v>
      </c>
      <c r="HZ23" t="e">
        <f>AND(#REF!,"AAAAABS9V+k=")</f>
        <v>#REF!</v>
      </c>
      <c r="IA23" t="e">
        <f>AND(#REF!,"AAAAABS9V+o=")</f>
        <v>#REF!</v>
      </c>
      <c r="IB23" t="e">
        <f>AND(#REF!,"AAAAABS9V+s=")</f>
        <v>#REF!</v>
      </c>
      <c r="IC23" t="e">
        <f>AND(#REF!,"AAAAABS9V+w=")</f>
        <v>#REF!</v>
      </c>
      <c r="ID23" t="e">
        <f>AND(#REF!,"AAAAABS9V+0=")</f>
        <v>#REF!</v>
      </c>
      <c r="IE23" t="e">
        <f>AND(#REF!,"AAAAABS9V+4=")</f>
        <v>#REF!</v>
      </c>
      <c r="IF23" t="e">
        <f>AND(#REF!,"AAAAABS9V+8=")</f>
        <v>#REF!</v>
      </c>
      <c r="IG23" t="e">
        <f>AND(#REF!,"AAAAABS9V/A=")</f>
        <v>#REF!</v>
      </c>
      <c r="IH23" t="e">
        <f>AND(#REF!,"AAAAABS9V/E=")</f>
        <v>#REF!</v>
      </c>
      <c r="II23" t="e">
        <f>AND(#REF!,"AAAAABS9V/I=")</f>
        <v>#REF!</v>
      </c>
      <c r="IJ23" t="e">
        <f>AND(#REF!,"AAAAABS9V/M=")</f>
        <v>#REF!</v>
      </c>
      <c r="IK23" t="e">
        <f>AND(#REF!,"AAAAABS9V/Q=")</f>
        <v>#REF!</v>
      </c>
      <c r="IL23" t="e">
        <f>AND(#REF!,"AAAAABS9V/U=")</f>
        <v>#REF!</v>
      </c>
      <c r="IM23" t="e">
        <f>AND(#REF!,"AAAAABS9V/Y=")</f>
        <v>#REF!</v>
      </c>
      <c r="IN23" t="e">
        <f>AND(#REF!,"AAAAABS9V/c=")</f>
        <v>#REF!</v>
      </c>
      <c r="IO23" t="e">
        <f>AND(#REF!,"AAAAABS9V/g=")</f>
        <v>#REF!</v>
      </c>
      <c r="IP23" t="e">
        <f>AND(#REF!,"AAAAABS9V/k=")</f>
        <v>#REF!</v>
      </c>
      <c r="IQ23" t="e">
        <f>AND(#REF!,"AAAAABS9V/o=")</f>
        <v>#REF!</v>
      </c>
      <c r="IR23" t="e">
        <f>AND(#REF!,"AAAAABS9V/s=")</f>
        <v>#REF!</v>
      </c>
      <c r="IS23" t="e">
        <f>AND(#REF!,"AAAAABS9V/w=")</f>
        <v>#REF!</v>
      </c>
      <c r="IT23" t="e">
        <f>AND(#REF!,"AAAAABS9V/0=")</f>
        <v>#REF!</v>
      </c>
      <c r="IU23" t="e">
        <f>AND(#REF!,"AAAAABS9V/4=")</f>
        <v>#REF!</v>
      </c>
      <c r="IV23" t="e">
        <f>AND(#REF!,"AAAAABS9V/8=")</f>
        <v>#REF!</v>
      </c>
    </row>
    <row r="24" spans="1:256" x14ac:dyDescent="0.2">
      <c r="A24" t="e">
        <f>AND(#REF!,"AAAAACOP/gA=")</f>
        <v>#REF!</v>
      </c>
      <c r="B24" t="e">
        <f>AND(#REF!,"AAAAACOP/gE=")</f>
        <v>#REF!</v>
      </c>
      <c r="C24" t="e">
        <f>AND(#REF!,"AAAAACOP/gI=")</f>
        <v>#REF!</v>
      </c>
      <c r="D24" t="e">
        <f>AND(#REF!,"AAAAACOP/gM=")</f>
        <v>#REF!</v>
      </c>
      <c r="E24" t="e">
        <f>AND(#REF!,"AAAAACOP/gQ=")</f>
        <v>#REF!</v>
      </c>
      <c r="F24" t="e">
        <f>AND(#REF!,"AAAAACOP/gU=")</f>
        <v>#REF!</v>
      </c>
      <c r="G24" t="e">
        <f>AND(#REF!,"AAAAACOP/gY=")</f>
        <v>#REF!</v>
      </c>
      <c r="H24" t="e">
        <f>IF(#REF!,"AAAAACOP/gc=",0)</f>
        <v>#REF!</v>
      </c>
      <c r="I24" t="e">
        <f>AND(#REF!,"AAAAACOP/gg=")</f>
        <v>#REF!</v>
      </c>
      <c r="J24" t="e">
        <f>AND(#REF!,"AAAAACOP/gk=")</f>
        <v>#REF!</v>
      </c>
      <c r="K24" t="e">
        <f>AND(#REF!,"AAAAACOP/go=")</f>
        <v>#REF!</v>
      </c>
      <c r="L24" t="e">
        <f>AND(#REF!,"AAAAACOP/gs=")</f>
        <v>#REF!</v>
      </c>
      <c r="M24" t="e">
        <f>AND(#REF!,"AAAAACOP/gw=")</f>
        <v>#REF!</v>
      </c>
      <c r="N24" t="e">
        <f>AND(#REF!,"AAAAACOP/g0=")</f>
        <v>#REF!</v>
      </c>
      <c r="O24" t="e">
        <f>AND(#REF!,"AAAAACOP/g4=")</f>
        <v>#REF!</v>
      </c>
      <c r="P24" t="e">
        <f>AND(#REF!,"AAAAACOP/g8=")</f>
        <v>#REF!</v>
      </c>
      <c r="Q24" t="e">
        <f>AND(#REF!,"AAAAACOP/hA=")</f>
        <v>#REF!</v>
      </c>
      <c r="R24" t="e">
        <f>AND(#REF!,"AAAAACOP/hE=")</f>
        <v>#REF!</v>
      </c>
      <c r="S24" t="e">
        <f>AND(#REF!,"AAAAACOP/hI=")</f>
        <v>#REF!</v>
      </c>
      <c r="T24" t="e">
        <f>AND(#REF!,"AAAAACOP/hM=")</f>
        <v>#REF!</v>
      </c>
      <c r="U24" t="e">
        <f>AND(#REF!,"AAAAACOP/hQ=")</f>
        <v>#REF!</v>
      </c>
      <c r="V24" t="e">
        <f>AND(#REF!,"AAAAACOP/hU=")</f>
        <v>#REF!</v>
      </c>
      <c r="W24" t="e">
        <f>AND(#REF!,"AAAAACOP/hY=")</f>
        <v>#REF!</v>
      </c>
      <c r="X24" t="e">
        <f>AND(#REF!,"AAAAACOP/hc=")</f>
        <v>#REF!</v>
      </c>
      <c r="Y24" t="e">
        <f>AND(#REF!,"AAAAACOP/hg=")</f>
        <v>#REF!</v>
      </c>
      <c r="Z24" t="e">
        <f>AND(#REF!,"AAAAACOP/hk=")</f>
        <v>#REF!</v>
      </c>
      <c r="AA24" t="e">
        <f>AND(#REF!,"AAAAACOP/ho=")</f>
        <v>#REF!</v>
      </c>
      <c r="AB24" t="e">
        <f>AND(#REF!,"AAAAACOP/hs=")</f>
        <v>#REF!</v>
      </c>
      <c r="AC24" t="e">
        <f>AND(#REF!,"AAAAACOP/hw=")</f>
        <v>#REF!</v>
      </c>
      <c r="AD24" t="e">
        <f>AND(#REF!,"AAAAACOP/h0=")</f>
        <v>#REF!</v>
      </c>
      <c r="AE24" t="e">
        <f>AND(#REF!,"AAAAACOP/h4=")</f>
        <v>#REF!</v>
      </c>
      <c r="AF24" t="e">
        <f>AND(#REF!,"AAAAACOP/h8=")</f>
        <v>#REF!</v>
      </c>
      <c r="AG24" t="e">
        <f>AND(#REF!,"AAAAACOP/iA=")</f>
        <v>#REF!</v>
      </c>
      <c r="AH24" t="e">
        <f>AND(#REF!,"AAAAACOP/iE=")</f>
        <v>#REF!</v>
      </c>
      <c r="AI24" t="e">
        <f>AND(#REF!,"AAAAACOP/iI=")</f>
        <v>#REF!</v>
      </c>
      <c r="AJ24" t="e">
        <f>AND(#REF!,"AAAAACOP/iM=")</f>
        <v>#REF!</v>
      </c>
      <c r="AK24" t="e">
        <f>AND(#REF!,"AAAAACOP/iQ=")</f>
        <v>#REF!</v>
      </c>
      <c r="AL24" t="e">
        <f>AND(#REF!,"AAAAACOP/iU=")</f>
        <v>#REF!</v>
      </c>
      <c r="AM24" t="e">
        <f>AND(#REF!,"AAAAACOP/iY=")</f>
        <v>#REF!</v>
      </c>
      <c r="AN24" t="e">
        <f>AND(#REF!,"AAAAACOP/ic=")</f>
        <v>#REF!</v>
      </c>
      <c r="AO24" t="e">
        <f>IF(#REF!,"AAAAACOP/ig=",0)</f>
        <v>#REF!</v>
      </c>
      <c r="AP24" t="e">
        <f>AND(#REF!,"AAAAACOP/ik=")</f>
        <v>#REF!</v>
      </c>
      <c r="AQ24" t="e">
        <f>AND(#REF!,"AAAAACOP/io=")</f>
        <v>#REF!</v>
      </c>
      <c r="AR24" t="e">
        <f>AND(#REF!,"AAAAACOP/is=")</f>
        <v>#REF!</v>
      </c>
      <c r="AS24" t="e">
        <f>AND(#REF!,"AAAAACOP/iw=")</f>
        <v>#REF!</v>
      </c>
      <c r="AT24" t="e">
        <f>AND(#REF!,"AAAAACOP/i0=")</f>
        <v>#REF!</v>
      </c>
      <c r="AU24" t="e">
        <f>AND(#REF!,"AAAAACOP/i4=")</f>
        <v>#REF!</v>
      </c>
      <c r="AV24" t="e">
        <f>AND(#REF!,"AAAAACOP/i8=")</f>
        <v>#REF!</v>
      </c>
      <c r="AW24" t="e">
        <f>AND(#REF!,"AAAAACOP/jA=")</f>
        <v>#REF!</v>
      </c>
      <c r="AX24" t="e">
        <f>AND(#REF!,"AAAAACOP/jE=")</f>
        <v>#REF!</v>
      </c>
      <c r="AY24" t="e">
        <f>AND(#REF!,"AAAAACOP/jI=")</f>
        <v>#REF!</v>
      </c>
      <c r="AZ24" t="e">
        <f>AND(#REF!,"AAAAACOP/jM=")</f>
        <v>#REF!</v>
      </c>
      <c r="BA24" t="e">
        <f>AND(#REF!,"AAAAACOP/jQ=")</f>
        <v>#REF!</v>
      </c>
      <c r="BB24" t="e">
        <f>AND(#REF!,"AAAAACOP/jU=")</f>
        <v>#REF!</v>
      </c>
      <c r="BC24" t="e">
        <f>AND(#REF!,"AAAAACOP/jY=")</f>
        <v>#REF!</v>
      </c>
      <c r="BD24" t="e">
        <f>AND(#REF!,"AAAAACOP/jc=")</f>
        <v>#REF!</v>
      </c>
      <c r="BE24" t="e">
        <f>AND(#REF!,"AAAAACOP/jg=")</f>
        <v>#REF!</v>
      </c>
      <c r="BF24" t="e">
        <f>AND(#REF!,"AAAAACOP/jk=")</f>
        <v>#REF!</v>
      </c>
      <c r="BG24" t="e">
        <f>AND(#REF!,"AAAAACOP/jo=")</f>
        <v>#REF!</v>
      </c>
      <c r="BH24" t="e">
        <f>AND(#REF!,"AAAAACOP/js=")</f>
        <v>#REF!</v>
      </c>
      <c r="BI24" t="e">
        <f>AND(#REF!,"AAAAACOP/jw=")</f>
        <v>#REF!</v>
      </c>
      <c r="BJ24" t="e">
        <f>AND(#REF!,"AAAAACOP/j0=")</f>
        <v>#REF!</v>
      </c>
      <c r="BK24" t="e">
        <f>AND(#REF!,"AAAAACOP/j4=")</f>
        <v>#REF!</v>
      </c>
      <c r="BL24" t="e">
        <f>AND(#REF!,"AAAAACOP/j8=")</f>
        <v>#REF!</v>
      </c>
      <c r="BM24" t="e">
        <f>AND(#REF!,"AAAAACOP/kA=")</f>
        <v>#REF!</v>
      </c>
      <c r="BN24" t="e">
        <f>AND(#REF!,"AAAAACOP/kE=")</f>
        <v>#REF!</v>
      </c>
      <c r="BO24" t="e">
        <f>AND(#REF!,"AAAAACOP/kI=")</f>
        <v>#REF!</v>
      </c>
      <c r="BP24" t="e">
        <f>AND(#REF!,"AAAAACOP/kM=")</f>
        <v>#REF!</v>
      </c>
      <c r="BQ24" t="e">
        <f>AND(#REF!,"AAAAACOP/kQ=")</f>
        <v>#REF!</v>
      </c>
      <c r="BR24" t="e">
        <f>AND(#REF!,"AAAAACOP/kU=")</f>
        <v>#REF!</v>
      </c>
      <c r="BS24" t="e">
        <f>AND(#REF!,"AAAAACOP/kY=")</f>
        <v>#REF!</v>
      </c>
      <c r="BT24" t="e">
        <f>AND(#REF!,"AAAAACOP/kc=")</f>
        <v>#REF!</v>
      </c>
      <c r="BU24" t="e">
        <f>AND(#REF!,"AAAAACOP/kg=")</f>
        <v>#REF!</v>
      </c>
      <c r="BV24" t="e">
        <f>IF(#REF!,"AAAAACOP/kk=",0)</f>
        <v>#REF!</v>
      </c>
      <c r="BW24" t="e">
        <f>AND(#REF!,"AAAAACOP/ko=")</f>
        <v>#REF!</v>
      </c>
      <c r="BX24" t="e">
        <f>AND(#REF!,"AAAAACOP/ks=")</f>
        <v>#REF!</v>
      </c>
      <c r="BY24" t="e">
        <f>AND(#REF!,"AAAAACOP/kw=")</f>
        <v>#REF!</v>
      </c>
      <c r="BZ24" t="e">
        <f>AND(#REF!,"AAAAACOP/k0=")</f>
        <v>#REF!</v>
      </c>
      <c r="CA24" t="e">
        <f>AND(#REF!,"AAAAACOP/k4=")</f>
        <v>#REF!</v>
      </c>
      <c r="CB24" t="e">
        <f>AND(#REF!,"AAAAACOP/k8=")</f>
        <v>#REF!</v>
      </c>
      <c r="CC24" t="e">
        <f>AND(#REF!,"AAAAACOP/lA=")</f>
        <v>#REF!</v>
      </c>
      <c r="CD24" t="e">
        <f>AND(#REF!,"AAAAACOP/lE=")</f>
        <v>#REF!</v>
      </c>
      <c r="CE24" t="e">
        <f>AND(#REF!,"AAAAACOP/lI=")</f>
        <v>#REF!</v>
      </c>
      <c r="CF24" t="e">
        <f>AND(#REF!,"AAAAACOP/lM=")</f>
        <v>#REF!</v>
      </c>
      <c r="CG24" t="e">
        <f>AND(#REF!,"AAAAACOP/lQ=")</f>
        <v>#REF!</v>
      </c>
      <c r="CH24" t="e">
        <f>AND(#REF!,"AAAAACOP/lU=")</f>
        <v>#REF!</v>
      </c>
      <c r="CI24" t="e">
        <f>AND(#REF!,"AAAAACOP/lY=")</f>
        <v>#REF!</v>
      </c>
      <c r="CJ24" t="e">
        <f>AND(#REF!,"AAAAACOP/lc=")</f>
        <v>#REF!</v>
      </c>
      <c r="CK24" t="e">
        <f>AND(#REF!,"AAAAACOP/lg=")</f>
        <v>#REF!</v>
      </c>
      <c r="CL24" t="e">
        <f>AND(#REF!,"AAAAACOP/lk=")</f>
        <v>#REF!</v>
      </c>
      <c r="CM24" t="e">
        <f>AND(#REF!,"AAAAACOP/lo=")</f>
        <v>#REF!</v>
      </c>
      <c r="CN24" t="e">
        <f>AND(#REF!,"AAAAACOP/ls=")</f>
        <v>#REF!</v>
      </c>
      <c r="CO24" t="e">
        <f>AND(#REF!,"AAAAACOP/lw=")</f>
        <v>#REF!</v>
      </c>
      <c r="CP24" t="e">
        <f>AND(#REF!,"AAAAACOP/l0=")</f>
        <v>#REF!</v>
      </c>
      <c r="CQ24" t="e">
        <f>AND(#REF!,"AAAAACOP/l4=")</f>
        <v>#REF!</v>
      </c>
      <c r="CR24" t="e">
        <f>AND(#REF!,"AAAAACOP/l8=")</f>
        <v>#REF!</v>
      </c>
      <c r="CS24" t="e">
        <f>AND(#REF!,"AAAAACOP/mA=")</f>
        <v>#REF!</v>
      </c>
      <c r="CT24" t="e">
        <f>AND(#REF!,"AAAAACOP/mE=")</f>
        <v>#REF!</v>
      </c>
      <c r="CU24" t="e">
        <f>AND(#REF!,"AAAAACOP/mI=")</f>
        <v>#REF!</v>
      </c>
      <c r="CV24" t="e">
        <f>AND(#REF!,"AAAAACOP/mM=")</f>
        <v>#REF!</v>
      </c>
      <c r="CW24" t="e">
        <f>AND(#REF!,"AAAAACOP/mQ=")</f>
        <v>#REF!</v>
      </c>
      <c r="CX24" t="e">
        <f>AND(#REF!,"AAAAACOP/mU=")</f>
        <v>#REF!</v>
      </c>
      <c r="CY24" t="e">
        <f>AND(#REF!,"AAAAACOP/mY=")</f>
        <v>#REF!</v>
      </c>
      <c r="CZ24" t="e">
        <f>AND(#REF!,"AAAAACOP/mc=")</f>
        <v>#REF!</v>
      </c>
      <c r="DA24" t="e">
        <f>AND(#REF!,"AAAAACOP/mg=")</f>
        <v>#REF!</v>
      </c>
      <c r="DB24" t="e">
        <f>AND(#REF!,"AAAAACOP/mk=")</f>
        <v>#REF!</v>
      </c>
      <c r="DC24" t="e">
        <f>IF(#REF!,"AAAAACOP/mo=",0)</f>
        <v>#REF!</v>
      </c>
      <c r="DD24" t="e">
        <f>AND(#REF!,"AAAAACOP/ms=")</f>
        <v>#REF!</v>
      </c>
      <c r="DE24" t="e">
        <f>AND(#REF!,"AAAAACOP/mw=")</f>
        <v>#REF!</v>
      </c>
      <c r="DF24" t="e">
        <f>AND(#REF!,"AAAAACOP/m0=")</f>
        <v>#REF!</v>
      </c>
      <c r="DG24" t="e">
        <f>AND(#REF!,"AAAAACOP/m4=")</f>
        <v>#REF!</v>
      </c>
      <c r="DH24" t="e">
        <f>AND(#REF!,"AAAAACOP/m8=")</f>
        <v>#REF!</v>
      </c>
      <c r="DI24" t="e">
        <f>AND(#REF!,"AAAAACOP/nA=")</f>
        <v>#REF!</v>
      </c>
      <c r="DJ24" t="e">
        <f>AND(#REF!,"AAAAACOP/nE=")</f>
        <v>#REF!</v>
      </c>
      <c r="DK24" t="e">
        <f>AND(#REF!,"AAAAACOP/nI=")</f>
        <v>#REF!</v>
      </c>
      <c r="DL24" t="e">
        <f>AND(#REF!,"AAAAACOP/nM=")</f>
        <v>#REF!</v>
      </c>
      <c r="DM24" t="e">
        <f>AND(#REF!,"AAAAACOP/nQ=")</f>
        <v>#REF!</v>
      </c>
      <c r="DN24" t="e">
        <f>AND(#REF!,"AAAAACOP/nU=")</f>
        <v>#REF!</v>
      </c>
      <c r="DO24" t="e">
        <f>AND(#REF!,"AAAAACOP/nY=")</f>
        <v>#REF!</v>
      </c>
      <c r="DP24" t="e">
        <f>AND(#REF!,"AAAAACOP/nc=")</f>
        <v>#REF!</v>
      </c>
      <c r="DQ24" t="e">
        <f>AND(#REF!,"AAAAACOP/ng=")</f>
        <v>#REF!</v>
      </c>
      <c r="DR24" t="e">
        <f>AND(#REF!,"AAAAACOP/nk=")</f>
        <v>#REF!</v>
      </c>
      <c r="DS24" t="e">
        <f>AND(#REF!,"AAAAACOP/no=")</f>
        <v>#REF!</v>
      </c>
      <c r="DT24" t="e">
        <f>AND(#REF!,"AAAAACOP/ns=")</f>
        <v>#REF!</v>
      </c>
      <c r="DU24" t="e">
        <f>AND(#REF!,"AAAAACOP/nw=")</f>
        <v>#REF!</v>
      </c>
      <c r="DV24" t="e">
        <f>AND(#REF!,"AAAAACOP/n0=")</f>
        <v>#REF!</v>
      </c>
      <c r="DW24" t="e">
        <f>AND(#REF!,"AAAAACOP/n4=")</f>
        <v>#REF!</v>
      </c>
      <c r="DX24" t="e">
        <f>AND(#REF!,"AAAAACOP/n8=")</f>
        <v>#REF!</v>
      </c>
      <c r="DY24" t="e">
        <f>AND(#REF!,"AAAAACOP/oA=")</f>
        <v>#REF!</v>
      </c>
      <c r="DZ24" t="e">
        <f>AND(#REF!,"AAAAACOP/oE=")</f>
        <v>#REF!</v>
      </c>
      <c r="EA24" t="e">
        <f>AND(#REF!,"AAAAACOP/oI=")</f>
        <v>#REF!</v>
      </c>
      <c r="EB24" t="e">
        <f>AND(#REF!,"AAAAACOP/oM=")</f>
        <v>#REF!</v>
      </c>
      <c r="EC24" t="e">
        <f>AND(#REF!,"AAAAACOP/oQ=")</f>
        <v>#REF!</v>
      </c>
      <c r="ED24" t="e">
        <f>AND(#REF!,"AAAAACOP/oU=")</f>
        <v>#REF!</v>
      </c>
      <c r="EE24" t="e">
        <f>AND(#REF!,"AAAAACOP/oY=")</f>
        <v>#REF!</v>
      </c>
      <c r="EF24" t="e">
        <f>AND(#REF!,"AAAAACOP/oc=")</f>
        <v>#REF!</v>
      </c>
      <c r="EG24" t="e">
        <f>AND(#REF!,"AAAAACOP/og=")</f>
        <v>#REF!</v>
      </c>
      <c r="EH24" t="e">
        <f>AND(#REF!,"AAAAACOP/ok=")</f>
        <v>#REF!</v>
      </c>
      <c r="EI24" t="e">
        <f>AND(#REF!,"AAAAACOP/oo=")</f>
        <v>#REF!</v>
      </c>
      <c r="EJ24" t="e">
        <f>IF(#REF!,"AAAAACOP/os=",0)</f>
        <v>#REF!</v>
      </c>
      <c r="EK24" t="e">
        <f>AND(#REF!,"AAAAACOP/ow=")</f>
        <v>#REF!</v>
      </c>
      <c r="EL24" t="e">
        <f>AND(#REF!,"AAAAACOP/o0=")</f>
        <v>#REF!</v>
      </c>
      <c r="EM24" t="e">
        <f>AND(#REF!,"AAAAACOP/o4=")</f>
        <v>#REF!</v>
      </c>
      <c r="EN24" t="e">
        <f>AND(#REF!,"AAAAACOP/o8=")</f>
        <v>#REF!</v>
      </c>
      <c r="EO24" t="e">
        <f>AND(#REF!,"AAAAACOP/pA=")</f>
        <v>#REF!</v>
      </c>
      <c r="EP24" t="e">
        <f>AND(#REF!,"AAAAACOP/pE=")</f>
        <v>#REF!</v>
      </c>
      <c r="EQ24" t="e">
        <f>AND(#REF!,"AAAAACOP/pI=")</f>
        <v>#REF!</v>
      </c>
      <c r="ER24" t="e">
        <f>AND(#REF!,"AAAAACOP/pM=")</f>
        <v>#REF!</v>
      </c>
      <c r="ES24" t="e">
        <f>AND(#REF!,"AAAAACOP/pQ=")</f>
        <v>#REF!</v>
      </c>
      <c r="ET24" t="e">
        <f>AND(#REF!,"AAAAACOP/pU=")</f>
        <v>#REF!</v>
      </c>
      <c r="EU24" t="e">
        <f>AND(#REF!,"AAAAACOP/pY=")</f>
        <v>#REF!</v>
      </c>
      <c r="EV24" t="e">
        <f>AND(#REF!,"AAAAACOP/pc=")</f>
        <v>#REF!</v>
      </c>
      <c r="EW24" t="e">
        <f>AND(#REF!,"AAAAACOP/pg=")</f>
        <v>#REF!</v>
      </c>
      <c r="EX24" t="e">
        <f>AND(#REF!,"AAAAACOP/pk=")</f>
        <v>#REF!</v>
      </c>
      <c r="EY24" t="e">
        <f>AND(#REF!,"AAAAACOP/po=")</f>
        <v>#REF!</v>
      </c>
      <c r="EZ24" t="e">
        <f>AND(#REF!,"AAAAACOP/ps=")</f>
        <v>#REF!</v>
      </c>
      <c r="FA24" t="e">
        <f>AND(#REF!,"AAAAACOP/pw=")</f>
        <v>#REF!</v>
      </c>
      <c r="FB24" t="e">
        <f>AND(#REF!,"AAAAACOP/p0=")</f>
        <v>#REF!</v>
      </c>
      <c r="FC24" t="e">
        <f>AND(#REF!,"AAAAACOP/p4=")</f>
        <v>#REF!</v>
      </c>
      <c r="FD24" t="e">
        <f>AND(#REF!,"AAAAACOP/p8=")</f>
        <v>#REF!</v>
      </c>
      <c r="FE24" t="e">
        <f>AND(#REF!,"AAAAACOP/qA=")</f>
        <v>#REF!</v>
      </c>
      <c r="FF24" t="e">
        <f>AND(#REF!,"AAAAACOP/qE=")</f>
        <v>#REF!</v>
      </c>
      <c r="FG24" t="e">
        <f>AND(#REF!,"AAAAACOP/qI=")</f>
        <v>#REF!</v>
      </c>
      <c r="FH24" t="e">
        <f>AND(#REF!,"AAAAACOP/qM=")</f>
        <v>#REF!</v>
      </c>
      <c r="FI24" t="e">
        <f>AND(#REF!,"AAAAACOP/qQ=")</f>
        <v>#REF!</v>
      </c>
      <c r="FJ24" t="e">
        <f>AND(#REF!,"AAAAACOP/qU=")</f>
        <v>#REF!</v>
      </c>
      <c r="FK24" t="e">
        <f>AND(#REF!,"AAAAACOP/qY=")</f>
        <v>#REF!</v>
      </c>
      <c r="FL24" t="e">
        <f>AND(#REF!,"AAAAACOP/qc=")</f>
        <v>#REF!</v>
      </c>
      <c r="FM24" t="e">
        <f>AND(#REF!,"AAAAACOP/qg=")</f>
        <v>#REF!</v>
      </c>
      <c r="FN24" t="e">
        <f>AND(#REF!,"AAAAACOP/qk=")</f>
        <v>#REF!</v>
      </c>
      <c r="FO24" t="e">
        <f>AND(#REF!,"AAAAACOP/qo=")</f>
        <v>#REF!</v>
      </c>
      <c r="FP24" t="e">
        <f>AND(#REF!,"AAAAACOP/qs=")</f>
        <v>#REF!</v>
      </c>
      <c r="FQ24" t="e">
        <f>IF(#REF!,"AAAAACOP/qw=",0)</f>
        <v>#REF!</v>
      </c>
      <c r="FR24" t="e">
        <f>AND(#REF!,"AAAAACOP/q0=")</f>
        <v>#REF!</v>
      </c>
      <c r="FS24" t="e">
        <f>AND(#REF!,"AAAAACOP/q4=")</f>
        <v>#REF!</v>
      </c>
      <c r="FT24" t="e">
        <f>AND(#REF!,"AAAAACOP/q8=")</f>
        <v>#REF!</v>
      </c>
      <c r="FU24" t="e">
        <f>AND(#REF!,"AAAAACOP/rA=")</f>
        <v>#REF!</v>
      </c>
      <c r="FV24" t="e">
        <f>AND(#REF!,"AAAAACOP/rE=")</f>
        <v>#REF!</v>
      </c>
      <c r="FW24" t="e">
        <f>AND(#REF!,"AAAAACOP/rI=")</f>
        <v>#REF!</v>
      </c>
      <c r="FX24" t="e">
        <f>AND(#REF!,"AAAAACOP/rM=")</f>
        <v>#REF!</v>
      </c>
      <c r="FY24" t="e">
        <f>AND(#REF!,"AAAAACOP/rQ=")</f>
        <v>#REF!</v>
      </c>
      <c r="FZ24" t="e">
        <f>AND(#REF!,"AAAAACOP/rU=")</f>
        <v>#REF!</v>
      </c>
      <c r="GA24" t="e">
        <f>AND(#REF!,"AAAAACOP/rY=")</f>
        <v>#REF!</v>
      </c>
      <c r="GB24" t="e">
        <f>AND(#REF!,"AAAAACOP/rc=")</f>
        <v>#REF!</v>
      </c>
      <c r="GC24" t="e">
        <f>AND(#REF!,"AAAAACOP/rg=")</f>
        <v>#REF!</v>
      </c>
      <c r="GD24" t="e">
        <f>AND(#REF!,"AAAAACOP/rk=")</f>
        <v>#REF!</v>
      </c>
      <c r="GE24" t="e">
        <f>AND(#REF!,"AAAAACOP/ro=")</f>
        <v>#REF!</v>
      </c>
      <c r="GF24" t="e">
        <f>AND(#REF!,"AAAAACOP/rs=")</f>
        <v>#REF!</v>
      </c>
      <c r="GG24" t="e">
        <f>AND(#REF!,"AAAAACOP/rw=")</f>
        <v>#REF!</v>
      </c>
      <c r="GH24" t="e">
        <f>AND(#REF!,"AAAAACOP/r0=")</f>
        <v>#REF!</v>
      </c>
      <c r="GI24" t="e">
        <f>AND(#REF!,"AAAAACOP/r4=")</f>
        <v>#REF!</v>
      </c>
      <c r="GJ24" t="e">
        <f>AND(#REF!,"AAAAACOP/r8=")</f>
        <v>#REF!</v>
      </c>
      <c r="GK24" t="e">
        <f>AND(#REF!,"AAAAACOP/sA=")</f>
        <v>#REF!</v>
      </c>
      <c r="GL24" t="e">
        <f>AND(#REF!,"AAAAACOP/sE=")</f>
        <v>#REF!</v>
      </c>
      <c r="GM24" t="e">
        <f>AND(#REF!,"AAAAACOP/sI=")</f>
        <v>#REF!</v>
      </c>
      <c r="GN24" t="e">
        <f>AND(#REF!,"AAAAACOP/sM=")</f>
        <v>#REF!</v>
      </c>
      <c r="GO24" t="e">
        <f>AND(#REF!,"AAAAACOP/sQ=")</f>
        <v>#REF!</v>
      </c>
      <c r="GP24" t="e">
        <f>AND(#REF!,"AAAAACOP/sU=")</f>
        <v>#REF!</v>
      </c>
      <c r="GQ24" t="e">
        <f>AND(#REF!,"AAAAACOP/sY=")</f>
        <v>#REF!</v>
      </c>
      <c r="GR24" t="e">
        <f>AND(#REF!,"AAAAACOP/sc=")</f>
        <v>#REF!</v>
      </c>
      <c r="GS24" t="e">
        <f>AND(#REF!,"AAAAACOP/sg=")</f>
        <v>#REF!</v>
      </c>
      <c r="GT24" t="e">
        <f>AND(#REF!,"AAAAACOP/sk=")</f>
        <v>#REF!</v>
      </c>
      <c r="GU24" t="e">
        <f>AND(#REF!,"AAAAACOP/so=")</f>
        <v>#REF!</v>
      </c>
      <c r="GV24" t="e">
        <f>AND(#REF!,"AAAAACOP/ss=")</f>
        <v>#REF!</v>
      </c>
      <c r="GW24" t="e">
        <f>AND(#REF!,"AAAAACOP/sw=")</f>
        <v>#REF!</v>
      </c>
      <c r="GX24" t="e">
        <f>IF(#REF!,"AAAAACOP/s0=",0)</f>
        <v>#REF!</v>
      </c>
      <c r="GY24" t="e">
        <f>AND(#REF!,"AAAAACOP/s4=")</f>
        <v>#REF!</v>
      </c>
      <c r="GZ24" t="e">
        <f>AND(#REF!,"AAAAACOP/s8=")</f>
        <v>#REF!</v>
      </c>
      <c r="HA24" t="e">
        <f>AND(#REF!,"AAAAACOP/tA=")</f>
        <v>#REF!</v>
      </c>
      <c r="HB24" t="e">
        <f>AND(#REF!,"AAAAACOP/tE=")</f>
        <v>#REF!</v>
      </c>
      <c r="HC24" t="e">
        <f>AND(#REF!,"AAAAACOP/tI=")</f>
        <v>#REF!</v>
      </c>
      <c r="HD24" t="e">
        <f>AND(#REF!,"AAAAACOP/tM=")</f>
        <v>#REF!</v>
      </c>
      <c r="HE24" t="e">
        <f>AND(#REF!,"AAAAACOP/tQ=")</f>
        <v>#REF!</v>
      </c>
      <c r="HF24" t="e">
        <f>AND(#REF!,"AAAAACOP/tU=")</f>
        <v>#REF!</v>
      </c>
      <c r="HG24" t="e">
        <f>AND(#REF!,"AAAAACOP/tY=")</f>
        <v>#REF!</v>
      </c>
      <c r="HH24" t="e">
        <f>AND(#REF!,"AAAAACOP/tc=")</f>
        <v>#REF!</v>
      </c>
      <c r="HI24" t="e">
        <f>AND(#REF!,"AAAAACOP/tg=")</f>
        <v>#REF!</v>
      </c>
      <c r="HJ24" t="e">
        <f>AND(#REF!,"AAAAACOP/tk=")</f>
        <v>#REF!</v>
      </c>
      <c r="HK24" t="e">
        <f>AND(#REF!,"AAAAACOP/to=")</f>
        <v>#REF!</v>
      </c>
      <c r="HL24" t="e">
        <f>AND(#REF!,"AAAAACOP/ts=")</f>
        <v>#REF!</v>
      </c>
      <c r="HM24" t="e">
        <f>AND(#REF!,"AAAAACOP/tw=")</f>
        <v>#REF!</v>
      </c>
      <c r="HN24" t="e">
        <f>AND(#REF!,"AAAAACOP/t0=")</f>
        <v>#REF!</v>
      </c>
      <c r="HO24" t="e">
        <f>AND(#REF!,"AAAAACOP/t4=")</f>
        <v>#REF!</v>
      </c>
      <c r="HP24" t="e">
        <f>AND(#REF!,"AAAAACOP/t8=")</f>
        <v>#REF!</v>
      </c>
      <c r="HQ24" t="e">
        <f>AND(#REF!,"AAAAACOP/uA=")</f>
        <v>#REF!</v>
      </c>
      <c r="HR24" t="e">
        <f>AND(#REF!,"AAAAACOP/uE=")</f>
        <v>#REF!</v>
      </c>
      <c r="HS24" t="e">
        <f>AND(#REF!,"AAAAACOP/uI=")</f>
        <v>#REF!</v>
      </c>
      <c r="HT24" t="e">
        <f>AND(#REF!,"AAAAACOP/uM=")</f>
        <v>#REF!</v>
      </c>
      <c r="HU24" t="e">
        <f>AND(#REF!,"AAAAACOP/uQ=")</f>
        <v>#REF!</v>
      </c>
      <c r="HV24" t="e">
        <f>AND(#REF!,"AAAAACOP/uU=")</f>
        <v>#REF!</v>
      </c>
      <c r="HW24" t="e">
        <f>AND(#REF!,"AAAAACOP/uY=")</f>
        <v>#REF!</v>
      </c>
      <c r="HX24" t="e">
        <f>AND(#REF!,"AAAAACOP/uc=")</f>
        <v>#REF!</v>
      </c>
      <c r="HY24" t="e">
        <f>AND(#REF!,"AAAAACOP/ug=")</f>
        <v>#REF!</v>
      </c>
      <c r="HZ24" t="e">
        <f>AND(#REF!,"AAAAACOP/uk=")</f>
        <v>#REF!</v>
      </c>
      <c r="IA24" t="e">
        <f>AND(#REF!,"AAAAACOP/uo=")</f>
        <v>#REF!</v>
      </c>
      <c r="IB24" t="e">
        <f>AND(#REF!,"AAAAACOP/us=")</f>
        <v>#REF!</v>
      </c>
      <c r="IC24" t="e">
        <f>AND(#REF!,"AAAAACOP/uw=")</f>
        <v>#REF!</v>
      </c>
      <c r="ID24" t="e">
        <f>AND(#REF!,"AAAAACOP/u0=")</f>
        <v>#REF!</v>
      </c>
      <c r="IE24" t="e">
        <f>IF(#REF!,"AAAAACOP/u4=",0)</f>
        <v>#REF!</v>
      </c>
      <c r="IF24" t="e">
        <f>AND(#REF!,"AAAAACOP/u8=")</f>
        <v>#REF!</v>
      </c>
      <c r="IG24" t="e">
        <f>AND(#REF!,"AAAAACOP/vA=")</f>
        <v>#REF!</v>
      </c>
      <c r="IH24" t="e">
        <f>AND(#REF!,"AAAAACOP/vE=")</f>
        <v>#REF!</v>
      </c>
      <c r="II24" t="e">
        <f>AND(#REF!,"AAAAACOP/vI=")</f>
        <v>#REF!</v>
      </c>
      <c r="IJ24" t="e">
        <f>AND(#REF!,"AAAAACOP/vM=")</f>
        <v>#REF!</v>
      </c>
      <c r="IK24" t="e">
        <f>AND(#REF!,"AAAAACOP/vQ=")</f>
        <v>#REF!</v>
      </c>
      <c r="IL24" t="e">
        <f>AND(#REF!,"AAAAACOP/vU=")</f>
        <v>#REF!</v>
      </c>
      <c r="IM24" t="e">
        <f>AND(#REF!,"AAAAACOP/vY=")</f>
        <v>#REF!</v>
      </c>
      <c r="IN24" t="e">
        <f>AND(#REF!,"AAAAACOP/vc=")</f>
        <v>#REF!</v>
      </c>
      <c r="IO24" t="e">
        <f>AND(#REF!,"AAAAACOP/vg=")</f>
        <v>#REF!</v>
      </c>
      <c r="IP24" t="e">
        <f>AND(#REF!,"AAAAACOP/vk=")</f>
        <v>#REF!</v>
      </c>
      <c r="IQ24" t="e">
        <f>AND(#REF!,"AAAAACOP/vo=")</f>
        <v>#REF!</v>
      </c>
      <c r="IR24" t="e">
        <f>AND(#REF!,"AAAAACOP/vs=")</f>
        <v>#REF!</v>
      </c>
      <c r="IS24" t="e">
        <f>AND(#REF!,"AAAAACOP/vw=")</f>
        <v>#REF!</v>
      </c>
      <c r="IT24" t="e">
        <f>AND(#REF!,"AAAAACOP/v0=")</f>
        <v>#REF!</v>
      </c>
      <c r="IU24" t="e">
        <f>AND(#REF!,"AAAAACOP/v4=")</f>
        <v>#REF!</v>
      </c>
      <c r="IV24" t="e">
        <f>AND(#REF!,"AAAAACOP/v8=")</f>
        <v>#REF!</v>
      </c>
    </row>
    <row r="25" spans="1:256" x14ac:dyDescent="0.2">
      <c r="A25" t="e">
        <f>AND(#REF!,"AAAAAHp3mwA=")</f>
        <v>#REF!</v>
      </c>
      <c r="B25" t="e">
        <f>AND(#REF!,"AAAAAHp3mwE=")</f>
        <v>#REF!</v>
      </c>
      <c r="C25" t="e">
        <f>AND(#REF!,"AAAAAHp3mwI=")</f>
        <v>#REF!</v>
      </c>
      <c r="D25" t="e">
        <f>AND(#REF!,"AAAAAHp3mwM=")</f>
        <v>#REF!</v>
      </c>
      <c r="E25" t="e">
        <f>AND(#REF!,"AAAAAHp3mwQ=")</f>
        <v>#REF!</v>
      </c>
      <c r="F25" t="e">
        <f>AND(#REF!,"AAAAAHp3mwU=")</f>
        <v>#REF!</v>
      </c>
      <c r="G25" t="e">
        <f>AND(#REF!,"AAAAAHp3mwY=")</f>
        <v>#REF!</v>
      </c>
      <c r="H25" t="e">
        <f>AND(#REF!,"AAAAAHp3mwc=")</f>
        <v>#REF!</v>
      </c>
      <c r="I25" t="e">
        <f>AND(#REF!,"AAAAAHp3mwg=")</f>
        <v>#REF!</v>
      </c>
      <c r="J25" t="e">
        <f>AND(#REF!,"AAAAAHp3mwk=")</f>
        <v>#REF!</v>
      </c>
      <c r="K25" t="e">
        <f>AND(#REF!,"AAAAAHp3mwo=")</f>
        <v>#REF!</v>
      </c>
      <c r="L25" t="e">
        <f>AND(#REF!,"AAAAAHp3mws=")</f>
        <v>#REF!</v>
      </c>
      <c r="M25" t="e">
        <f>AND(#REF!,"AAAAAHp3mww=")</f>
        <v>#REF!</v>
      </c>
      <c r="N25" t="e">
        <f>AND(#REF!,"AAAAAHp3mw0=")</f>
        <v>#REF!</v>
      </c>
      <c r="O25" t="e">
        <f>AND(#REF!,"AAAAAHp3mw4=")</f>
        <v>#REF!</v>
      </c>
      <c r="P25" t="e">
        <f>IF(#REF!,"AAAAAHp3mw8=",0)</f>
        <v>#REF!</v>
      </c>
      <c r="Q25" t="e">
        <f>AND(#REF!,"AAAAAHp3mxA=")</f>
        <v>#REF!</v>
      </c>
      <c r="R25" t="e">
        <f>AND(#REF!,"AAAAAHp3mxE=")</f>
        <v>#REF!</v>
      </c>
      <c r="S25" t="e">
        <f>AND(#REF!,"AAAAAHp3mxI=")</f>
        <v>#REF!</v>
      </c>
      <c r="T25" t="e">
        <f>AND(#REF!,"AAAAAHp3mxM=")</f>
        <v>#REF!</v>
      </c>
      <c r="U25" t="e">
        <f>AND(#REF!,"AAAAAHp3mxQ=")</f>
        <v>#REF!</v>
      </c>
      <c r="V25" t="e">
        <f>AND(#REF!,"AAAAAHp3mxU=")</f>
        <v>#REF!</v>
      </c>
      <c r="W25" t="e">
        <f>AND(#REF!,"AAAAAHp3mxY=")</f>
        <v>#REF!</v>
      </c>
      <c r="X25" t="e">
        <f>AND(#REF!,"AAAAAHp3mxc=")</f>
        <v>#REF!</v>
      </c>
      <c r="Y25" t="e">
        <f>AND(#REF!,"AAAAAHp3mxg=")</f>
        <v>#REF!</v>
      </c>
      <c r="Z25" t="e">
        <f>AND(#REF!,"AAAAAHp3mxk=")</f>
        <v>#REF!</v>
      </c>
      <c r="AA25" t="e">
        <f>AND(#REF!,"AAAAAHp3mxo=")</f>
        <v>#REF!</v>
      </c>
      <c r="AB25" t="e">
        <f>AND(#REF!,"AAAAAHp3mxs=")</f>
        <v>#REF!</v>
      </c>
      <c r="AC25" t="e">
        <f>AND(#REF!,"AAAAAHp3mxw=")</f>
        <v>#REF!</v>
      </c>
      <c r="AD25" t="e">
        <f>AND(#REF!,"AAAAAHp3mx0=")</f>
        <v>#REF!</v>
      </c>
      <c r="AE25" t="e">
        <f>AND(#REF!,"AAAAAHp3mx4=")</f>
        <v>#REF!</v>
      </c>
      <c r="AF25" t="e">
        <f>AND(#REF!,"AAAAAHp3mx8=")</f>
        <v>#REF!</v>
      </c>
      <c r="AG25" t="e">
        <f>AND(#REF!,"AAAAAHp3myA=")</f>
        <v>#REF!</v>
      </c>
      <c r="AH25" t="e">
        <f>AND(#REF!,"AAAAAHp3myE=")</f>
        <v>#REF!</v>
      </c>
      <c r="AI25" t="e">
        <f>AND(#REF!,"AAAAAHp3myI=")</f>
        <v>#REF!</v>
      </c>
      <c r="AJ25" t="e">
        <f>AND(#REF!,"AAAAAHp3myM=")</f>
        <v>#REF!</v>
      </c>
      <c r="AK25" t="e">
        <f>AND(#REF!,"AAAAAHp3myQ=")</f>
        <v>#REF!</v>
      </c>
      <c r="AL25" t="e">
        <f>AND(#REF!,"AAAAAHp3myU=")</f>
        <v>#REF!</v>
      </c>
      <c r="AM25" t="e">
        <f>AND(#REF!,"AAAAAHp3myY=")</f>
        <v>#REF!</v>
      </c>
      <c r="AN25" t="e">
        <f>AND(#REF!,"AAAAAHp3myc=")</f>
        <v>#REF!</v>
      </c>
      <c r="AO25" t="e">
        <f>AND(#REF!,"AAAAAHp3myg=")</f>
        <v>#REF!</v>
      </c>
      <c r="AP25" t="e">
        <f>AND(#REF!,"AAAAAHp3myk=")</f>
        <v>#REF!</v>
      </c>
      <c r="AQ25" t="e">
        <f>AND(#REF!,"AAAAAHp3myo=")</f>
        <v>#REF!</v>
      </c>
      <c r="AR25" t="e">
        <f>AND(#REF!,"AAAAAHp3mys=")</f>
        <v>#REF!</v>
      </c>
      <c r="AS25" t="e">
        <f>AND(#REF!,"AAAAAHp3myw=")</f>
        <v>#REF!</v>
      </c>
      <c r="AT25" t="e">
        <f>AND(#REF!,"AAAAAHp3my0=")</f>
        <v>#REF!</v>
      </c>
      <c r="AU25" t="e">
        <f>AND(#REF!,"AAAAAHp3my4=")</f>
        <v>#REF!</v>
      </c>
      <c r="AV25" t="e">
        <f>AND(#REF!,"AAAAAHp3my8=")</f>
        <v>#REF!</v>
      </c>
      <c r="AW25" t="e">
        <f>IF(#REF!,"AAAAAHp3mzA=",0)</f>
        <v>#REF!</v>
      </c>
      <c r="AX25" t="e">
        <f>AND(#REF!,"AAAAAHp3mzE=")</f>
        <v>#REF!</v>
      </c>
      <c r="AY25" t="e">
        <f>AND(#REF!,"AAAAAHp3mzI=")</f>
        <v>#REF!</v>
      </c>
      <c r="AZ25" t="e">
        <f>AND(#REF!,"AAAAAHp3mzM=")</f>
        <v>#REF!</v>
      </c>
      <c r="BA25" t="e">
        <f>AND(#REF!,"AAAAAHp3mzQ=")</f>
        <v>#REF!</v>
      </c>
      <c r="BB25" t="e">
        <f>AND(#REF!,"AAAAAHp3mzU=")</f>
        <v>#REF!</v>
      </c>
      <c r="BC25" t="e">
        <f>AND(#REF!,"AAAAAHp3mzY=")</f>
        <v>#REF!</v>
      </c>
      <c r="BD25" t="e">
        <f>AND(#REF!,"AAAAAHp3mzc=")</f>
        <v>#REF!</v>
      </c>
      <c r="BE25" t="e">
        <f>AND(#REF!,"AAAAAHp3mzg=")</f>
        <v>#REF!</v>
      </c>
      <c r="BF25" t="e">
        <f>AND(#REF!,"AAAAAHp3mzk=")</f>
        <v>#REF!</v>
      </c>
      <c r="BG25" t="e">
        <f>AND(#REF!,"AAAAAHp3mzo=")</f>
        <v>#REF!</v>
      </c>
      <c r="BH25" t="e">
        <f>AND(#REF!,"AAAAAHp3mzs=")</f>
        <v>#REF!</v>
      </c>
      <c r="BI25" t="e">
        <f>AND(#REF!,"AAAAAHp3mzw=")</f>
        <v>#REF!</v>
      </c>
      <c r="BJ25" t="e">
        <f>AND(#REF!,"AAAAAHp3mz0=")</f>
        <v>#REF!</v>
      </c>
      <c r="BK25" t="e">
        <f>AND(#REF!,"AAAAAHp3mz4=")</f>
        <v>#REF!</v>
      </c>
      <c r="BL25" t="e">
        <f>AND(#REF!,"AAAAAHp3mz8=")</f>
        <v>#REF!</v>
      </c>
      <c r="BM25" t="e">
        <f>AND(#REF!,"AAAAAHp3m0A=")</f>
        <v>#REF!</v>
      </c>
      <c r="BN25" t="e">
        <f>AND(#REF!,"AAAAAHp3m0E=")</f>
        <v>#REF!</v>
      </c>
      <c r="BO25" t="e">
        <f>AND(#REF!,"AAAAAHp3m0I=")</f>
        <v>#REF!</v>
      </c>
      <c r="BP25" t="e">
        <f>AND(#REF!,"AAAAAHp3m0M=")</f>
        <v>#REF!</v>
      </c>
      <c r="BQ25" t="e">
        <f>AND(#REF!,"AAAAAHp3m0Q=")</f>
        <v>#REF!</v>
      </c>
      <c r="BR25" t="e">
        <f>AND(#REF!,"AAAAAHp3m0U=")</f>
        <v>#REF!</v>
      </c>
      <c r="BS25" t="e">
        <f>AND(#REF!,"AAAAAHp3m0Y=")</f>
        <v>#REF!</v>
      </c>
      <c r="BT25" t="e">
        <f>AND(#REF!,"AAAAAHp3m0c=")</f>
        <v>#REF!</v>
      </c>
      <c r="BU25" t="e">
        <f>AND(#REF!,"AAAAAHp3m0g=")</f>
        <v>#REF!</v>
      </c>
      <c r="BV25" t="e">
        <f>AND(#REF!,"AAAAAHp3m0k=")</f>
        <v>#REF!</v>
      </c>
      <c r="BW25" t="e">
        <f>AND(#REF!,"AAAAAHp3m0o=")</f>
        <v>#REF!</v>
      </c>
      <c r="BX25" t="e">
        <f>AND(#REF!,"AAAAAHp3m0s=")</f>
        <v>#REF!</v>
      </c>
      <c r="BY25" t="e">
        <f>AND(#REF!,"AAAAAHp3m0w=")</f>
        <v>#REF!</v>
      </c>
      <c r="BZ25" t="e">
        <f>AND(#REF!,"AAAAAHp3m00=")</f>
        <v>#REF!</v>
      </c>
      <c r="CA25" t="e">
        <f>AND(#REF!,"AAAAAHp3m04=")</f>
        <v>#REF!</v>
      </c>
      <c r="CB25" t="e">
        <f>AND(#REF!,"AAAAAHp3m08=")</f>
        <v>#REF!</v>
      </c>
      <c r="CC25" t="e">
        <f>AND(#REF!,"AAAAAHp3m1A=")</f>
        <v>#REF!</v>
      </c>
      <c r="CD25" t="e">
        <f>IF(#REF!,"AAAAAHp3m1E=",0)</f>
        <v>#REF!</v>
      </c>
      <c r="CE25" t="e">
        <f>AND(#REF!,"AAAAAHp3m1I=")</f>
        <v>#REF!</v>
      </c>
      <c r="CF25" t="e">
        <f>AND(#REF!,"AAAAAHp3m1M=")</f>
        <v>#REF!</v>
      </c>
      <c r="CG25" t="e">
        <f>AND(#REF!,"AAAAAHp3m1Q=")</f>
        <v>#REF!</v>
      </c>
      <c r="CH25" t="e">
        <f>AND(#REF!,"AAAAAHp3m1U=")</f>
        <v>#REF!</v>
      </c>
      <c r="CI25" t="e">
        <f>AND(#REF!,"AAAAAHp3m1Y=")</f>
        <v>#REF!</v>
      </c>
      <c r="CJ25" t="e">
        <f>AND(#REF!,"AAAAAHp3m1c=")</f>
        <v>#REF!</v>
      </c>
      <c r="CK25" t="e">
        <f>AND(#REF!,"AAAAAHp3m1g=")</f>
        <v>#REF!</v>
      </c>
      <c r="CL25" t="e">
        <f>AND(#REF!,"AAAAAHp3m1k=")</f>
        <v>#REF!</v>
      </c>
      <c r="CM25" t="e">
        <f>AND(#REF!,"AAAAAHp3m1o=")</f>
        <v>#REF!</v>
      </c>
      <c r="CN25" t="e">
        <f>AND(#REF!,"AAAAAHp3m1s=")</f>
        <v>#REF!</v>
      </c>
      <c r="CO25" t="e">
        <f>AND(#REF!,"AAAAAHp3m1w=")</f>
        <v>#REF!</v>
      </c>
      <c r="CP25" t="e">
        <f>AND(#REF!,"AAAAAHp3m10=")</f>
        <v>#REF!</v>
      </c>
      <c r="CQ25" t="e">
        <f>AND(#REF!,"AAAAAHp3m14=")</f>
        <v>#REF!</v>
      </c>
      <c r="CR25" t="e">
        <f>AND(#REF!,"AAAAAHp3m18=")</f>
        <v>#REF!</v>
      </c>
      <c r="CS25" t="e">
        <f>AND(#REF!,"AAAAAHp3m2A=")</f>
        <v>#REF!</v>
      </c>
      <c r="CT25" t="e">
        <f>AND(#REF!,"AAAAAHp3m2E=")</f>
        <v>#REF!</v>
      </c>
      <c r="CU25" t="e">
        <f>AND(#REF!,"AAAAAHp3m2I=")</f>
        <v>#REF!</v>
      </c>
      <c r="CV25" t="e">
        <f>AND(#REF!,"AAAAAHp3m2M=")</f>
        <v>#REF!</v>
      </c>
      <c r="CW25" t="e">
        <f>AND(#REF!,"AAAAAHp3m2Q=")</f>
        <v>#REF!</v>
      </c>
      <c r="CX25" t="e">
        <f>AND(#REF!,"AAAAAHp3m2U=")</f>
        <v>#REF!</v>
      </c>
      <c r="CY25" t="e">
        <f>AND(#REF!,"AAAAAHp3m2Y=")</f>
        <v>#REF!</v>
      </c>
      <c r="CZ25" t="e">
        <f>AND(#REF!,"AAAAAHp3m2c=")</f>
        <v>#REF!</v>
      </c>
      <c r="DA25" t="e">
        <f>AND(#REF!,"AAAAAHp3m2g=")</f>
        <v>#REF!</v>
      </c>
      <c r="DB25" t="e">
        <f>AND(#REF!,"AAAAAHp3m2k=")</f>
        <v>#REF!</v>
      </c>
      <c r="DC25" t="e">
        <f>AND(#REF!,"AAAAAHp3m2o=")</f>
        <v>#REF!</v>
      </c>
      <c r="DD25" t="e">
        <f>AND(#REF!,"AAAAAHp3m2s=")</f>
        <v>#REF!</v>
      </c>
      <c r="DE25" t="e">
        <f>AND(#REF!,"AAAAAHp3m2w=")</f>
        <v>#REF!</v>
      </c>
      <c r="DF25" t="e">
        <f>AND(#REF!,"AAAAAHp3m20=")</f>
        <v>#REF!</v>
      </c>
      <c r="DG25" t="e">
        <f>AND(#REF!,"AAAAAHp3m24=")</f>
        <v>#REF!</v>
      </c>
      <c r="DH25" t="e">
        <f>AND(#REF!,"AAAAAHp3m28=")</f>
        <v>#REF!</v>
      </c>
      <c r="DI25" t="e">
        <f>AND(#REF!,"AAAAAHp3m3A=")</f>
        <v>#REF!</v>
      </c>
      <c r="DJ25" t="e">
        <f>AND(#REF!,"AAAAAHp3m3E=")</f>
        <v>#REF!</v>
      </c>
      <c r="DK25" t="e">
        <f>IF(#REF!,"AAAAAHp3m3I=",0)</f>
        <v>#REF!</v>
      </c>
      <c r="DL25" t="e">
        <f>AND(#REF!,"AAAAAHp3m3M=")</f>
        <v>#REF!</v>
      </c>
      <c r="DM25" t="e">
        <f>AND(#REF!,"AAAAAHp3m3Q=")</f>
        <v>#REF!</v>
      </c>
      <c r="DN25" t="e">
        <f>AND(#REF!,"AAAAAHp3m3U=")</f>
        <v>#REF!</v>
      </c>
      <c r="DO25" t="e">
        <f>AND(#REF!,"AAAAAHp3m3Y=")</f>
        <v>#REF!</v>
      </c>
      <c r="DP25" t="e">
        <f>AND(#REF!,"AAAAAHp3m3c=")</f>
        <v>#REF!</v>
      </c>
      <c r="DQ25" t="e">
        <f>AND(#REF!,"AAAAAHp3m3g=")</f>
        <v>#REF!</v>
      </c>
      <c r="DR25" t="e">
        <f>AND(#REF!,"AAAAAHp3m3k=")</f>
        <v>#REF!</v>
      </c>
      <c r="DS25" t="e">
        <f>AND(#REF!,"AAAAAHp3m3o=")</f>
        <v>#REF!</v>
      </c>
      <c r="DT25" t="e">
        <f>AND(#REF!,"AAAAAHp3m3s=")</f>
        <v>#REF!</v>
      </c>
      <c r="DU25" t="e">
        <f>AND(#REF!,"AAAAAHp3m3w=")</f>
        <v>#REF!</v>
      </c>
      <c r="DV25" t="e">
        <f>AND(#REF!,"AAAAAHp3m30=")</f>
        <v>#REF!</v>
      </c>
      <c r="DW25" t="e">
        <f>AND(#REF!,"AAAAAHp3m34=")</f>
        <v>#REF!</v>
      </c>
      <c r="DX25" t="e">
        <f>AND(#REF!,"AAAAAHp3m38=")</f>
        <v>#REF!</v>
      </c>
      <c r="DY25" t="e">
        <f>AND(#REF!,"AAAAAHp3m4A=")</f>
        <v>#REF!</v>
      </c>
      <c r="DZ25" t="e">
        <f>AND(#REF!,"AAAAAHp3m4E=")</f>
        <v>#REF!</v>
      </c>
      <c r="EA25" t="e">
        <f>AND(#REF!,"AAAAAHp3m4I=")</f>
        <v>#REF!</v>
      </c>
      <c r="EB25" t="e">
        <f>AND(#REF!,"AAAAAHp3m4M=")</f>
        <v>#REF!</v>
      </c>
      <c r="EC25" t="e">
        <f>AND(#REF!,"AAAAAHp3m4Q=")</f>
        <v>#REF!</v>
      </c>
      <c r="ED25" t="e">
        <f>AND(#REF!,"AAAAAHp3m4U=")</f>
        <v>#REF!</v>
      </c>
      <c r="EE25" t="e">
        <f>AND(#REF!,"AAAAAHp3m4Y=")</f>
        <v>#REF!</v>
      </c>
      <c r="EF25" t="e">
        <f>AND(#REF!,"AAAAAHp3m4c=")</f>
        <v>#REF!</v>
      </c>
      <c r="EG25" t="e">
        <f>AND(#REF!,"AAAAAHp3m4g=")</f>
        <v>#REF!</v>
      </c>
      <c r="EH25" t="e">
        <f>AND(#REF!,"AAAAAHp3m4k=")</f>
        <v>#REF!</v>
      </c>
      <c r="EI25" t="e">
        <f>AND(#REF!,"AAAAAHp3m4o=")</f>
        <v>#REF!</v>
      </c>
      <c r="EJ25" t="e">
        <f>AND(#REF!,"AAAAAHp3m4s=")</f>
        <v>#REF!</v>
      </c>
      <c r="EK25" t="e">
        <f>AND(#REF!,"AAAAAHp3m4w=")</f>
        <v>#REF!</v>
      </c>
      <c r="EL25" t="e">
        <f>AND(#REF!,"AAAAAHp3m40=")</f>
        <v>#REF!</v>
      </c>
      <c r="EM25" t="e">
        <f>AND(#REF!,"AAAAAHp3m44=")</f>
        <v>#REF!</v>
      </c>
      <c r="EN25" t="e">
        <f>AND(#REF!,"AAAAAHp3m48=")</f>
        <v>#REF!</v>
      </c>
      <c r="EO25" t="e">
        <f>AND(#REF!,"AAAAAHp3m5A=")</f>
        <v>#REF!</v>
      </c>
      <c r="EP25" t="e">
        <f>AND(#REF!,"AAAAAHp3m5E=")</f>
        <v>#REF!</v>
      </c>
      <c r="EQ25" t="e">
        <f>AND(#REF!,"AAAAAHp3m5I=")</f>
        <v>#REF!</v>
      </c>
      <c r="ER25" t="e">
        <f>IF(#REF!,"AAAAAHp3m5M=",0)</f>
        <v>#REF!</v>
      </c>
      <c r="ES25" t="e">
        <f>AND(#REF!,"AAAAAHp3m5Q=")</f>
        <v>#REF!</v>
      </c>
      <c r="ET25" t="e">
        <f>AND(#REF!,"AAAAAHp3m5U=")</f>
        <v>#REF!</v>
      </c>
      <c r="EU25" t="e">
        <f>AND(#REF!,"AAAAAHp3m5Y=")</f>
        <v>#REF!</v>
      </c>
      <c r="EV25" t="e">
        <f>AND(#REF!,"AAAAAHp3m5c=")</f>
        <v>#REF!</v>
      </c>
      <c r="EW25" t="e">
        <f>AND(#REF!,"AAAAAHp3m5g=")</f>
        <v>#REF!</v>
      </c>
      <c r="EX25" t="e">
        <f>AND(#REF!,"AAAAAHp3m5k=")</f>
        <v>#REF!</v>
      </c>
      <c r="EY25" t="e">
        <f>AND(#REF!,"AAAAAHp3m5o=")</f>
        <v>#REF!</v>
      </c>
      <c r="EZ25" t="e">
        <f>AND(#REF!,"AAAAAHp3m5s=")</f>
        <v>#REF!</v>
      </c>
      <c r="FA25" t="e">
        <f>AND(#REF!,"AAAAAHp3m5w=")</f>
        <v>#REF!</v>
      </c>
      <c r="FB25" t="e">
        <f>AND(#REF!,"AAAAAHp3m50=")</f>
        <v>#REF!</v>
      </c>
      <c r="FC25" t="e">
        <f>AND(#REF!,"AAAAAHp3m54=")</f>
        <v>#REF!</v>
      </c>
      <c r="FD25" t="e">
        <f>AND(#REF!,"AAAAAHp3m58=")</f>
        <v>#REF!</v>
      </c>
      <c r="FE25" t="e">
        <f>AND(#REF!,"AAAAAHp3m6A=")</f>
        <v>#REF!</v>
      </c>
      <c r="FF25" t="e">
        <f>AND(#REF!,"AAAAAHp3m6E=")</f>
        <v>#REF!</v>
      </c>
      <c r="FG25" t="e">
        <f>AND(#REF!,"AAAAAHp3m6I=")</f>
        <v>#REF!</v>
      </c>
      <c r="FH25" t="e">
        <f>AND(#REF!,"AAAAAHp3m6M=")</f>
        <v>#REF!</v>
      </c>
      <c r="FI25" t="e">
        <f>AND(#REF!,"AAAAAHp3m6Q=")</f>
        <v>#REF!</v>
      </c>
      <c r="FJ25" t="e">
        <f>AND(#REF!,"AAAAAHp3m6U=")</f>
        <v>#REF!</v>
      </c>
      <c r="FK25" t="e">
        <f>AND(#REF!,"AAAAAHp3m6Y=")</f>
        <v>#REF!</v>
      </c>
      <c r="FL25" t="e">
        <f>AND(#REF!,"AAAAAHp3m6c=")</f>
        <v>#REF!</v>
      </c>
      <c r="FM25" t="e">
        <f>AND(#REF!,"AAAAAHp3m6g=")</f>
        <v>#REF!</v>
      </c>
      <c r="FN25" t="e">
        <f>AND(#REF!,"AAAAAHp3m6k=")</f>
        <v>#REF!</v>
      </c>
      <c r="FO25" t="e">
        <f>AND(#REF!,"AAAAAHp3m6o=")</f>
        <v>#REF!</v>
      </c>
      <c r="FP25" t="e">
        <f>AND(#REF!,"AAAAAHp3m6s=")</f>
        <v>#REF!</v>
      </c>
      <c r="FQ25" t="e">
        <f>AND(#REF!,"AAAAAHp3m6w=")</f>
        <v>#REF!</v>
      </c>
      <c r="FR25" t="e">
        <f>AND(#REF!,"AAAAAHp3m60=")</f>
        <v>#REF!</v>
      </c>
      <c r="FS25" t="e">
        <f>AND(#REF!,"AAAAAHp3m64=")</f>
        <v>#REF!</v>
      </c>
      <c r="FT25" t="e">
        <f>AND(#REF!,"AAAAAHp3m68=")</f>
        <v>#REF!</v>
      </c>
      <c r="FU25" t="e">
        <f>AND(#REF!,"AAAAAHp3m7A=")</f>
        <v>#REF!</v>
      </c>
      <c r="FV25" t="e">
        <f>AND(#REF!,"AAAAAHp3m7E=")</f>
        <v>#REF!</v>
      </c>
      <c r="FW25" t="e">
        <f>AND(#REF!,"AAAAAHp3m7I=")</f>
        <v>#REF!</v>
      </c>
      <c r="FX25" t="e">
        <f>AND(#REF!,"AAAAAHp3m7M=")</f>
        <v>#REF!</v>
      </c>
      <c r="FY25" t="e">
        <f>IF(#REF!,"AAAAAHp3m7Q=",0)</f>
        <v>#REF!</v>
      </c>
      <c r="FZ25" t="e">
        <f>AND(#REF!,"AAAAAHp3m7U=")</f>
        <v>#REF!</v>
      </c>
      <c r="GA25" t="e">
        <f>AND(#REF!,"AAAAAHp3m7Y=")</f>
        <v>#REF!</v>
      </c>
      <c r="GB25" t="e">
        <f>AND(#REF!,"AAAAAHp3m7c=")</f>
        <v>#REF!</v>
      </c>
      <c r="GC25" t="e">
        <f>AND(#REF!,"AAAAAHp3m7g=")</f>
        <v>#REF!</v>
      </c>
      <c r="GD25" t="e">
        <f>AND(#REF!,"AAAAAHp3m7k=")</f>
        <v>#REF!</v>
      </c>
      <c r="GE25" t="e">
        <f>AND(#REF!,"AAAAAHp3m7o=")</f>
        <v>#REF!</v>
      </c>
      <c r="GF25" t="e">
        <f>AND(#REF!,"AAAAAHp3m7s=")</f>
        <v>#REF!</v>
      </c>
      <c r="GG25" t="e">
        <f>AND(#REF!,"AAAAAHp3m7w=")</f>
        <v>#REF!</v>
      </c>
      <c r="GH25" t="e">
        <f>AND(#REF!,"AAAAAHp3m70=")</f>
        <v>#REF!</v>
      </c>
      <c r="GI25" t="e">
        <f>AND(#REF!,"AAAAAHp3m74=")</f>
        <v>#REF!</v>
      </c>
      <c r="GJ25" t="e">
        <f>AND(#REF!,"AAAAAHp3m78=")</f>
        <v>#REF!</v>
      </c>
      <c r="GK25" t="e">
        <f>AND(#REF!,"AAAAAHp3m8A=")</f>
        <v>#REF!</v>
      </c>
      <c r="GL25" t="e">
        <f>AND(#REF!,"AAAAAHp3m8E=")</f>
        <v>#REF!</v>
      </c>
      <c r="GM25" t="e">
        <f>AND(#REF!,"AAAAAHp3m8I=")</f>
        <v>#REF!</v>
      </c>
      <c r="GN25" t="e">
        <f>AND(#REF!,"AAAAAHp3m8M=")</f>
        <v>#REF!</v>
      </c>
      <c r="GO25" t="e">
        <f>AND(#REF!,"AAAAAHp3m8Q=")</f>
        <v>#REF!</v>
      </c>
      <c r="GP25" t="e">
        <f>AND(#REF!,"AAAAAHp3m8U=")</f>
        <v>#REF!</v>
      </c>
      <c r="GQ25" t="e">
        <f>AND(#REF!,"AAAAAHp3m8Y=")</f>
        <v>#REF!</v>
      </c>
      <c r="GR25" t="e">
        <f>AND(#REF!,"AAAAAHp3m8c=")</f>
        <v>#REF!</v>
      </c>
      <c r="GS25" t="e">
        <f>AND(#REF!,"AAAAAHp3m8g=")</f>
        <v>#REF!</v>
      </c>
      <c r="GT25" t="e">
        <f>AND(#REF!,"AAAAAHp3m8k=")</f>
        <v>#REF!</v>
      </c>
      <c r="GU25" t="e">
        <f>AND(#REF!,"AAAAAHp3m8o=")</f>
        <v>#REF!</v>
      </c>
      <c r="GV25" t="e">
        <f>AND(#REF!,"AAAAAHp3m8s=")</f>
        <v>#REF!</v>
      </c>
      <c r="GW25" t="e">
        <f>AND(#REF!,"AAAAAHp3m8w=")</f>
        <v>#REF!</v>
      </c>
      <c r="GX25" t="e">
        <f>AND(#REF!,"AAAAAHp3m80=")</f>
        <v>#REF!</v>
      </c>
      <c r="GY25" t="e">
        <f>AND(#REF!,"AAAAAHp3m84=")</f>
        <v>#REF!</v>
      </c>
      <c r="GZ25" t="e">
        <f>AND(#REF!,"AAAAAHp3m88=")</f>
        <v>#REF!</v>
      </c>
      <c r="HA25" t="e">
        <f>AND(#REF!,"AAAAAHp3m9A=")</f>
        <v>#REF!</v>
      </c>
      <c r="HB25" t="e">
        <f>AND(#REF!,"AAAAAHp3m9E=")</f>
        <v>#REF!</v>
      </c>
      <c r="HC25" t="e">
        <f>AND(#REF!,"AAAAAHp3m9I=")</f>
        <v>#REF!</v>
      </c>
      <c r="HD25" t="e">
        <f>AND(#REF!,"AAAAAHp3m9M=")</f>
        <v>#REF!</v>
      </c>
      <c r="HE25" t="e">
        <f>AND(#REF!,"AAAAAHp3m9Q=")</f>
        <v>#REF!</v>
      </c>
      <c r="HF25" t="e">
        <f>IF(#REF!,"AAAAAHp3m9U=",0)</f>
        <v>#REF!</v>
      </c>
      <c r="HG25" t="e">
        <f>AND(#REF!,"AAAAAHp3m9Y=")</f>
        <v>#REF!</v>
      </c>
      <c r="HH25" t="e">
        <f>AND(#REF!,"AAAAAHp3m9c=")</f>
        <v>#REF!</v>
      </c>
      <c r="HI25" t="e">
        <f>AND(#REF!,"AAAAAHp3m9g=")</f>
        <v>#REF!</v>
      </c>
      <c r="HJ25" t="e">
        <f>AND(#REF!,"AAAAAHp3m9k=")</f>
        <v>#REF!</v>
      </c>
      <c r="HK25" t="e">
        <f>AND(#REF!,"AAAAAHp3m9o=")</f>
        <v>#REF!</v>
      </c>
      <c r="HL25" t="e">
        <f>AND(#REF!,"AAAAAHp3m9s=")</f>
        <v>#REF!</v>
      </c>
      <c r="HM25" t="e">
        <f>AND(#REF!,"AAAAAHp3m9w=")</f>
        <v>#REF!</v>
      </c>
      <c r="HN25" t="e">
        <f>AND(#REF!,"AAAAAHp3m90=")</f>
        <v>#REF!</v>
      </c>
      <c r="HO25" t="e">
        <f>AND(#REF!,"AAAAAHp3m94=")</f>
        <v>#REF!</v>
      </c>
      <c r="HP25" t="e">
        <f>AND(#REF!,"AAAAAHp3m98=")</f>
        <v>#REF!</v>
      </c>
      <c r="HQ25" t="e">
        <f>AND(#REF!,"AAAAAHp3m+A=")</f>
        <v>#REF!</v>
      </c>
      <c r="HR25" t="e">
        <f>AND(#REF!,"AAAAAHp3m+E=")</f>
        <v>#REF!</v>
      </c>
      <c r="HS25" t="e">
        <f>AND(#REF!,"AAAAAHp3m+I=")</f>
        <v>#REF!</v>
      </c>
      <c r="HT25" t="e">
        <f>AND(#REF!,"AAAAAHp3m+M=")</f>
        <v>#REF!</v>
      </c>
      <c r="HU25" t="e">
        <f>AND(#REF!,"AAAAAHp3m+Q=")</f>
        <v>#REF!</v>
      </c>
      <c r="HV25" t="e">
        <f>AND(#REF!,"AAAAAHp3m+U=")</f>
        <v>#REF!</v>
      </c>
      <c r="HW25" t="e">
        <f>AND(#REF!,"AAAAAHp3m+Y=")</f>
        <v>#REF!</v>
      </c>
      <c r="HX25" t="e">
        <f>AND(#REF!,"AAAAAHp3m+c=")</f>
        <v>#REF!</v>
      </c>
      <c r="HY25" t="e">
        <f>AND(#REF!,"AAAAAHp3m+g=")</f>
        <v>#REF!</v>
      </c>
      <c r="HZ25" t="e">
        <f>AND(#REF!,"AAAAAHp3m+k=")</f>
        <v>#REF!</v>
      </c>
      <c r="IA25" t="e">
        <f>AND(#REF!,"AAAAAHp3m+o=")</f>
        <v>#REF!</v>
      </c>
      <c r="IB25" t="e">
        <f>AND(#REF!,"AAAAAHp3m+s=")</f>
        <v>#REF!</v>
      </c>
      <c r="IC25" t="e">
        <f>AND(#REF!,"AAAAAHp3m+w=")</f>
        <v>#REF!</v>
      </c>
      <c r="ID25" t="e">
        <f>AND(#REF!,"AAAAAHp3m+0=")</f>
        <v>#REF!</v>
      </c>
      <c r="IE25" t="e">
        <f>AND(#REF!,"AAAAAHp3m+4=")</f>
        <v>#REF!</v>
      </c>
      <c r="IF25" t="e">
        <f>AND(#REF!,"AAAAAHp3m+8=")</f>
        <v>#REF!</v>
      </c>
      <c r="IG25" t="e">
        <f>AND(#REF!,"AAAAAHp3m/A=")</f>
        <v>#REF!</v>
      </c>
      <c r="IH25" t="e">
        <f>AND(#REF!,"AAAAAHp3m/E=")</f>
        <v>#REF!</v>
      </c>
      <c r="II25" t="e">
        <f>AND(#REF!,"AAAAAHp3m/I=")</f>
        <v>#REF!</v>
      </c>
      <c r="IJ25" t="e">
        <f>AND(#REF!,"AAAAAHp3m/M=")</f>
        <v>#REF!</v>
      </c>
      <c r="IK25" t="e">
        <f>AND(#REF!,"AAAAAHp3m/Q=")</f>
        <v>#REF!</v>
      </c>
      <c r="IL25" t="e">
        <f>AND(#REF!,"AAAAAHp3m/U=")</f>
        <v>#REF!</v>
      </c>
      <c r="IM25" t="e">
        <f>IF(#REF!,"AAAAAHp3m/Y=",0)</f>
        <v>#REF!</v>
      </c>
      <c r="IN25" t="e">
        <f>AND(#REF!,"AAAAAHp3m/c=")</f>
        <v>#REF!</v>
      </c>
      <c r="IO25" t="e">
        <f>AND(#REF!,"AAAAAHp3m/g=")</f>
        <v>#REF!</v>
      </c>
      <c r="IP25" t="e">
        <f>AND(#REF!,"AAAAAHp3m/k=")</f>
        <v>#REF!</v>
      </c>
      <c r="IQ25" t="e">
        <f>AND(#REF!,"AAAAAHp3m/o=")</f>
        <v>#REF!</v>
      </c>
      <c r="IR25" t="e">
        <f>AND(#REF!,"AAAAAHp3m/s=")</f>
        <v>#REF!</v>
      </c>
      <c r="IS25" t="e">
        <f>AND(#REF!,"AAAAAHp3m/w=")</f>
        <v>#REF!</v>
      </c>
      <c r="IT25" t="e">
        <f>AND(#REF!,"AAAAAHp3m/0=")</f>
        <v>#REF!</v>
      </c>
      <c r="IU25" t="e">
        <f>AND(#REF!,"AAAAAHp3m/4=")</f>
        <v>#REF!</v>
      </c>
      <c r="IV25" t="e">
        <f>AND(#REF!,"AAAAAHp3m/8=")</f>
        <v>#REF!</v>
      </c>
    </row>
    <row r="26" spans="1:256" x14ac:dyDescent="0.2">
      <c r="A26" t="e">
        <f>AND(#REF!,"AAAAAE/+1wA=")</f>
        <v>#REF!</v>
      </c>
      <c r="B26" t="e">
        <f>AND(#REF!,"AAAAAE/+1wE=")</f>
        <v>#REF!</v>
      </c>
      <c r="C26" t="e">
        <f>AND(#REF!,"AAAAAE/+1wI=")</f>
        <v>#REF!</v>
      </c>
      <c r="D26" t="e">
        <f>AND(#REF!,"AAAAAE/+1wM=")</f>
        <v>#REF!</v>
      </c>
      <c r="E26" t="e">
        <f>AND(#REF!,"AAAAAE/+1wQ=")</f>
        <v>#REF!</v>
      </c>
      <c r="F26" t="e">
        <f>AND(#REF!,"AAAAAE/+1wU=")</f>
        <v>#REF!</v>
      </c>
      <c r="G26" t="e">
        <f>AND(#REF!,"AAAAAE/+1wY=")</f>
        <v>#REF!</v>
      </c>
      <c r="H26" t="e">
        <f>AND(#REF!,"AAAAAE/+1wc=")</f>
        <v>#REF!</v>
      </c>
      <c r="I26" t="e">
        <f>AND(#REF!,"AAAAAE/+1wg=")</f>
        <v>#REF!</v>
      </c>
      <c r="J26" t="e">
        <f>AND(#REF!,"AAAAAE/+1wk=")</f>
        <v>#REF!</v>
      </c>
      <c r="K26" t="e">
        <f>AND(#REF!,"AAAAAE/+1wo=")</f>
        <v>#REF!</v>
      </c>
      <c r="L26" t="e">
        <f>AND(#REF!,"AAAAAE/+1ws=")</f>
        <v>#REF!</v>
      </c>
      <c r="M26" t="e">
        <f>AND(#REF!,"AAAAAE/+1ww=")</f>
        <v>#REF!</v>
      </c>
      <c r="N26" t="e">
        <f>AND(#REF!,"AAAAAE/+1w0=")</f>
        <v>#REF!</v>
      </c>
      <c r="O26" t="e">
        <f>AND(#REF!,"AAAAAE/+1w4=")</f>
        <v>#REF!</v>
      </c>
      <c r="P26" t="e">
        <f>AND(#REF!,"AAAAAE/+1w8=")</f>
        <v>#REF!</v>
      </c>
      <c r="Q26" t="e">
        <f>AND(#REF!,"AAAAAE/+1xA=")</f>
        <v>#REF!</v>
      </c>
      <c r="R26" t="e">
        <f>AND(#REF!,"AAAAAE/+1xE=")</f>
        <v>#REF!</v>
      </c>
      <c r="S26" t="e">
        <f>AND(#REF!,"AAAAAE/+1xI=")</f>
        <v>#REF!</v>
      </c>
      <c r="T26" t="e">
        <f>AND(#REF!,"AAAAAE/+1xM=")</f>
        <v>#REF!</v>
      </c>
      <c r="U26" t="e">
        <f>AND(#REF!,"AAAAAE/+1xQ=")</f>
        <v>#REF!</v>
      </c>
      <c r="V26" t="e">
        <f>AND(#REF!,"AAAAAE/+1xU=")</f>
        <v>#REF!</v>
      </c>
      <c r="W26" t="e">
        <f>AND(#REF!,"AAAAAE/+1xY=")</f>
        <v>#REF!</v>
      </c>
      <c r="X26" t="e">
        <f>IF(#REF!,"AAAAAE/+1xc=",0)</f>
        <v>#REF!</v>
      </c>
      <c r="Y26" t="e">
        <f>AND(#REF!,"AAAAAE/+1xg=")</f>
        <v>#REF!</v>
      </c>
      <c r="Z26" t="e">
        <f>AND(#REF!,"AAAAAE/+1xk=")</f>
        <v>#REF!</v>
      </c>
      <c r="AA26" t="e">
        <f>AND(#REF!,"AAAAAE/+1xo=")</f>
        <v>#REF!</v>
      </c>
      <c r="AB26" t="e">
        <f>IF(#REF!,"AAAAAE/+1xs=",0)</f>
        <v>#REF!</v>
      </c>
      <c r="AC26" t="e">
        <f>AND(#REF!,"AAAAAE/+1xw=")</f>
        <v>#REF!</v>
      </c>
      <c r="AD26" t="e">
        <f>AND(#REF!,"AAAAAE/+1x0=")</f>
        <v>#REF!</v>
      </c>
      <c r="AE26" t="e">
        <f>AND(#REF!,"AAAAAE/+1x4=")</f>
        <v>#REF!</v>
      </c>
      <c r="AF26" t="e">
        <f>IF(#REF!,"AAAAAE/+1x8=",0)</f>
        <v>#REF!</v>
      </c>
      <c r="AG26" t="e">
        <f>AND(#REF!,"AAAAAE/+1yA=")</f>
        <v>#REF!</v>
      </c>
      <c r="AH26" t="e">
        <f>AND(#REF!,"AAAAAE/+1yE=")</f>
        <v>#REF!</v>
      </c>
      <c r="AI26" t="e">
        <f>AND(#REF!,"AAAAAE/+1yI=")</f>
        <v>#REF!</v>
      </c>
      <c r="AJ26" t="e">
        <f>IF(#REF!,"AAAAAE/+1yM=",0)</f>
        <v>#REF!</v>
      </c>
      <c r="AK26" t="e">
        <f>AND(#REF!,"AAAAAE/+1yQ=")</f>
        <v>#REF!</v>
      </c>
      <c r="AL26" t="e">
        <f>AND(#REF!,"AAAAAE/+1yU=")</f>
        <v>#REF!</v>
      </c>
      <c r="AM26" t="e">
        <f>AND(#REF!,"AAAAAE/+1yY=")</f>
        <v>#REF!</v>
      </c>
      <c r="AN26" t="e">
        <f>IF(#REF!,"AAAAAE/+1yc=",0)</f>
        <v>#REF!</v>
      </c>
      <c r="AO26" t="e">
        <f>AND(#REF!,"AAAAAE/+1yg=")</f>
        <v>#REF!</v>
      </c>
      <c r="AP26" t="e">
        <f>AND(#REF!,"AAAAAE/+1yk=")</f>
        <v>#REF!</v>
      </c>
      <c r="AQ26" t="e">
        <f>AND(#REF!,"AAAAAE/+1yo=")</f>
        <v>#REF!</v>
      </c>
      <c r="AR26" t="e">
        <f>IF(#REF!,"AAAAAE/+1ys=",0)</f>
        <v>#REF!</v>
      </c>
      <c r="AS26" t="e">
        <f>AND(#REF!,"AAAAAE/+1yw=")</f>
        <v>#REF!</v>
      </c>
      <c r="AT26" t="e">
        <f>AND(#REF!,"AAAAAE/+1y0=")</f>
        <v>#REF!</v>
      </c>
      <c r="AU26" t="e">
        <f>AND(#REF!,"AAAAAE/+1y4=")</f>
        <v>#REF!</v>
      </c>
      <c r="AV26" t="e">
        <f>IF(#REF!,"AAAAAE/+1y8=",0)</f>
        <v>#REF!</v>
      </c>
      <c r="AW26" t="e">
        <f>AND(#REF!,"AAAAAE/+1zA=")</f>
        <v>#REF!</v>
      </c>
      <c r="AX26" t="e">
        <f>AND(#REF!,"AAAAAE/+1zE=")</f>
        <v>#REF!</v>
      </c>
      <c r="AY26" t="e">
        <f>AND(#REF!,"AAAAAE/+1zI=")</f>
        <v>#REF!</v>
      </c>
      <c r="AZ26" t="e">
        <f>IF(#REF!,"AAAAAE/+1zM=",0)</f>
        <v>#REF!</v>
      </c>
      <c r="BA26" t="e">
        <f>AND(#REF!,"AAAAAE/+1zQ=")</f>
        <v>#REF!</v>
      </c>
      <c r="BB26" t="e">
        <f>AND(#REF!,"AAAAAE/+1zU=")</f>
        <v>#REF!</v>
      </c>
      <c r="BC26" t="e">
        <f>AND(#REF!,"AAAAAE/+1zY=")</f>
        <v>#REF!</v>
      </c>
      <c r="BD26" t="e">
        <f>IF(#REF!,"AAAAAE/+1zc=",0)</f>
        <v>#REF!</v>
      </c>
      <c r="BE26" t="e">
        <f>AND(#REF!,"AAAAAE/+1zg=")</f>
        <v>#REF!</v>
      </c>
      <c r="BF26" t="e">
        <f>AND(#REF!,"AAAAAE/+1zk=")</f>
        <v>#REF!</v>
      </c>
      <c r="BG26" t="e">
        <f>AND(#REF!,"AAAAAE/+1zo=")</f>
        <v>#REF!</v>
      </c>
      <c r="BH26" t="e">
        <f>IF(#REF!,"AAAAAE/+1zs=",0)</f>
        <v>#REF!</v>
      </c>
      <c r="BI26" t="e">
        <f>AND(#REF!,"AAAAAE/+1zw=")</f>
        <v>#REF!</v>
      </c>
      <c r="BJ26" t="e">
        <f>AND(#REF!,"AAAAAE/+1z0=")</f>
        <v>#REF!</v>
      </c>
      <c r="BK26" t="e">
        <f>AND(#REF!,"AAAAAE/+1z4=")</f>
        <v>#REF!</v>
      </c>
      <c r="BL26" t="e">
        <f>IF(#REF!,"AAAAAE/+1z8=",0)</f>
        <v>#REF!</v>
      </c>
      <c r="BM26" t="e">
        <f>AND(#REF!,"AAAAAE/+10A=")</f>
        <v>#REF!</v>
      </c>
      <c r="BN26" t="e">
        <f>AND(#REF!,"AAAAAE/+10E=")</f>
        <v>#REF!</v>
      </c>
      <c r="BO26" t="e">
        <f>AND(#REF!,"AAAAAE/+10I=")</f>
        <v>#REF!</v>
      </c>
      <c r="BP26" t="e">
        <f>IF(#REF!,"AAAAAE/+10M=",0)</f>
        <v>#REF!</v>
      </c>
      <c r="BQ26" t="e">
        <f>AND(#REF!,"AAAAAE/+10Q=")</f>
        <v>#REF!</v>
      </c>
      <c r="BR26" t="e">
        <f>AND(#REF!,"AAAAAE/+10U=")</f>
        <v>#REF!</v>
      </c>
      <c r="BS26" t="e">
        <f>AND(#REF!,"AAAAAE/+10Y=")</f>
        <v>#REF!</v>
      </c>
      <c r="BT26" t="e">
        <f>IF(#REF!,"AAAAAE/+10c=",0)</f>
        <v>#REF!</v>
      </c>
      <c r="BU26" t="e">
        <f>AND(#REF!,"AAAAAE/+10g=")</f>
        <v>#REF!</v>
      </c>
      <c r="BV26" t="e">
        <f>AND(#REF!,"AAAAAE/+10k=")</f>
        <v>#REF!</v>
      </c>
      <c r="BW26" t="e">
        <f>AND(#REF!,"AAAAAE/+10o=")</f>
        <v>#REF!</v>
      </c>
      <c r="BX26" t="e">
        <f>IF(#REF!,"AAAAAE/+10s=",0)</f>
        <v>#REF!</v>
      </c>
      <c r="BY26" t="e">
        <f>AND(#REF!,"AAAAAE/+10w=")</f>
        <v>#REF!</v>
      </c>
      <c r="BZ26" t="e">
        <f>AND(#REF!,"AAAAAE/+100=")</f>
        <v>#REF!</v>
      </c>
      <c r="CA26" t="e">
        <f>AND(#REF!,"AAAAAE/+104=")</f>
        <v>#REF!</v>
      </c>
      <c r="CB26" t="e">
        <f>IF(#REF!,"AAAAAE/+108=",0)</f>
        <v>#REF!</v>
      </c>
      <c r="CC26" t="e">
        <f>AND(#REF!,"AAAAAE/+11A=")</f>
        <v>#REF!</v>
      </c>
      <c r="CD26" t="e">
        <f>AND(#REF!,"AAAAAE/+11E=")</f>
        <v>#REF!</v>
      </c>
      <c r="CE26" t="e">
        <f>AND(#REF!,"AAAAAE/+11I=")</f>
        <v>#REF!</v>
      </c>
      <c r="CF26" t="e">
        <f>IF(#REF!,"AAAAAE/+11M=",0)</f>
        <v>#REF!</v>
      </c>
      <c r="CG26" t="e">
        <f>AND(#REF!,"AAAAAE/+11Q=")</f>
        <v>#REF!</v>
      </c>
      <c r="CH26" t="e">
        <f>AND(#REF!,"AAAAAE/+11U=")</f>
        <v>#REF!</v>
      </c>
      <c r="CI26" t="e">
        <f>AND(#REF!,"AAAAAE/+11Y=")</f>
        <v>#REF!</v>
      </c>
      <c r="CJ26" t="e">
        <f>IF(#REF!,"AAAAAE/+11c=",0)</f>
        <v>#REF!</v>
      </c>
      <c r="CK26" t="e">
        <f>AND(#REF!,"AAAAAE/+11g=")</f>
        <v>#REF!</v>
      </c>
      <c r="CL26" t="e">
        <f>AND(#REF!,"AAAAAE/+11k=")</f>
        <v>#REF!</v>
      </c>
      <c r="CM26" t="e">
        <f>AND(#REF!,"AAAAAE/+11o=")</f>
        <v>#REF!</v>
      </c>
      <c r="CN26" t="e">
        <f>IF(#REF!,"AAAAAE/+11s=",0)</f>
        <v>#REF!</v>
      </c>
      <c r="CO26" t="e">
        <f>AND(#REF!,"AAAAAE/+11w=")</f>
        <v>#REF!</v>
      </c>
      <c r="CP26" t="e">
        <f>AND(#REF!,"AAAAAE/+110=")</f>
        <v>#REF!</v>
      </c>
      <c r="CQ26" t="e">
        <f>AND(#REF!,"AAAAAE/+114=")</f>
        <v>#REF!</v>
      </c>
      <c r="CR26" t="e">
        <f>IF(#REF!,"AAAAAE/+118=",0)</f>
        <v>#REF!</v>
      </c>
      <c r="CS26" t="e">
        <f>AND(#REF!,"AAAAAE/+12A=")</f>
        <v>#REF!</v>
      </c>
      <c r="CT26" t="e">
        <f>AND(#REF!,"AAAAAE/+12E=")</f>
        <v>#REF!</v>
      </c>
      <c r="CU26" t="e">
        <f>AND(#REF!,"AAAAAE/+12I=")</f>
        <v>#REF!</v>
      </c>
      <c r="CV26" t="e">
        <f>IF(#REF!,"AAAAAE/+12M=",0)</f>
        <v>#REF!</v>
      </c>
      <c r="CW26" t="e">
        <f>AND(#REF!,"AAAAAE/+12Q=")</f>
        <v>#REF!</v>
      </c>
      <c r="CX26" t="e">
        <f>AND(#REF!,"AAAAAE/+12U=")</f>
        <v>#REF!</v>
      </c>
      <c r="CY26" t="e">
        <f>AND(#REF!,"AAAAAE/+12Y=")</f>
        <v>#REF!</v>
      </c>
      <c r="CZ26" t="e">
        <f>IF(#REF!,"AAAAAE/+12c=",0)</f>
        <v>#REF!</v>
      </c>
      <c r="DA26" t="e">
        <f>AND(#REF!,"AAAAAE/+12g=")</f>
        <v>#REF!</v>
      </c>
      <c r="DB26" t="e">
        <f>AND(#REF!,"AAAAAE/+12k=")</f>
        <v>#REF!</v>
      </c>
      <c r="DC26" t="e">
        <f>AND(#REF!,"AAAAAE/+12o=")</f>
        <v>#REF!</v>
      </c>
      <c r="DD26" t="e">
        <f>IF(#REF!,"AAAAAE/+12s=",0)</f>
        <v>#REF!</v>
      </c>
      <c r="DE26" t="e">
        <f>AND(#REF!,"AAAAAE/+12w=")</f>
        <v>#REF!</v>
      </c>
      <c r="DF26" t="e">
        <f>AND(#REF!,"AAAAAE/+120=")</f>
        <v>#REF!</v>
      </c>
      <c r="DG26" t="e">
        <f>AND(#REF!,"AAAAAE/+124=")</f>
        <v>#REF!</v>
      </c>
      <c r="DH26" t="e">
        <f>IF(#REF!,"AAAAAE/+128=",0)</f>
        <v>#REF!</v>
      </c>
      <c r="DI26" t="e">
        <f>AND(#REF!,"AAAAAE/+13A=")</f>
        <v>#REF!</v>
      </c>
      <c r="DJ26" t="e">
        <f>AND(#REF!,"AAAAAE/+13E=")</f>
        <v>#REF!</v>
      </c>
      <c r="DK26" t="e">
        <f>AND(#REF!,"AAAAAE/+13I=")</f>
        <v>#REF!</v>
      </c>
      <c r="DL26" t="e">
        <f>IF(#REF!,"AAAAAE/+13M=",0)</f>
        <v>#REF!</v>
      </c>
      <c r="DM26" t="e">
        <f>AND(#REF!,"AAAAAE/+13Q=")</f>
        <v>#REF!</v>
      </c>
      <c r="DN26" t="e">
        <f>AND(#REF!,"AAAAAE/+13U=")</f>
        <v>#REF!</v>
      </c>
      <c r="DO26" t="e">
        <f>AND(#REF!,"AAAAAE/+13Y=")</f>
        <v>#REF!</v>
      </c>
      <c r="DP26" t="e">
        <f>IF(#REF!,"AAAAAE/+13c=",0)</f>
        <v>#REF!</v>
      </c>
      <c r="DQ26" t="e">
        <f>AND(#REF!,"AAAAAE/+13g=")</f>
        <v>#REF!</v>
      </c>
      <c r="DR26" t="e">
        <f>AND(#REF!,"AAAAAE/+13k=")</f>
        <v>#REF!</v>
      </c>
      <c r="DS26" t="e">
        <f>AND(#REF!,"AAAAAE/+13o=")</f>
        <v>#REF!</v>
      </c>
      <c r="DT26" t="e">
        <f>IF(#REF!,"AAAAAE/+13s=",0)</f>
        <v>#REF!</v>
      </c>
      <c r="DU26" t="e">
        <f>AND(#REF!,"AAAAAE/+13w=")</f>
        <v>#REF!</v>
      </c>
      <c r="DV26" t="e">
        <f>AND(#REF!,"AAAAAE/+130=")</f>
        <v>#REF!</v>
      </c>
      <c r="DW26" t="e">
        <f>AND(#REF!,"AAAAAE/+134=")</f>
        <v>#REF!</v>
      </c>
      <c r="DX26" t="e">
        <f>IF(#REF!,"AAAAAE/+138=",0)</f>
        <v>#REF!</v>
      </c>
      <c r="DY26" t="e">
        <f>AND(#REF!,"AAAAAE/+14A=")</f>
        <v>#REF!</v>
      </c>
      <c r="DZ26" t="e">
        <f>AND(#REF!,"AAAAAE/+14E=")</f>
        <v>#REF!</v>
      </c>
      <c r="EA26" t="e">
        <f>AND(#REF!,"AAAAAE/+14I=")</f>
        <v>#REF!</v>
      </c>
      <c r="EB26" t="e">
        <f>IF(#REF!,"AAAAAE/+14M=",0)</f>
        <v>#REF!</v>
      </c>
      <c r="EC26" t="e">
        <f>AND(#REF!,"AAAAAE/+14Q=")</f>
        <v>#REF!</v>
      </c>
      <c r="ED26" t="e">
        <f>AND(#REF!,"AAAAAE/+14U=")</f>
        <v>#REF!</v>
      </c>
      <c r="EE26" t="e">
        <f>AND(#REF!,"AAAAAE/+14Y=")</f>
        <v>#REF!</v>
      </c>
      <c r="EF26" t="e">
        <f>IF(#REF!,"AAAAAE/+14c=",0)</f>
        <v>#REF!</v>
      </c>
      <c r="EG26" t="e">
        <f>AND(#REF!,"AAAAAE/+14g=")</f>
        <v>#REF!</v>
      </c>
      <c r="EH26" t="e">
        <f>AND(#REF!,"AAAAAE/+14k=")</f>
        <v>#REF!</v>
      </c>
      <c r="EI26" t="e">
        <f>AND(#REF!,"AAAAAE/+14o=")</f>
        <v>#REF!</v>
      </c>
      <c r="EJ26" t="e">
        <f>IF(#REF!,"AAAAAE/+14s=",0)</f>
        <v>#REF!</v>
      </c>
      <c r="EK26" t="e">
        <f>IF(#REF!,"AAAAAE/+14w=",0)</f>
        <v>#REF!</v>
      </c>
      <c r="EL26" t="e">
        <f>IF(#REF!,"AAAAAE/+140=",0)</f>
        <v>#REF!</v>
      </c>
      <c r="EM26" t="e">
        <f>IF(#REF!,"AAAAAE/+144=",0)</f>
        <v>#REF!</v>
      </c>
      <c r="EN26" t="e">
        <f>IF(#REF!,"AAAAAE/+148=",0)</f>
        <v>#REF!</v>
      </c>
      <c r="EO26" t="e">
        <f>IF(#REF!,"AAAAAE/+15A=",0)</f>
        <v>#REF!</v>
      </c>
      <c r="EP26" t="e">
        <f>IF(#REF!,"AAAAAE/+15E=",0)</f>
        <v>#REF!</v>
      </c>
      <c r="EQ26" t="e">
        <f>IF(#REF!,"AAAAAE/+15I=",0)</f>
        <v>#REF!</v>
      </c>
      <c r="ER26" t="e">
        <f>IF(#REF!,"AAAAAE/+15M=",0)</f>
        <v>#REF!</v>
      </c>
      <c r="ES26" t="e">
        <f>IF(#REF!,"AAAAAE/+15Q=",0)</f>
        <v>#REF!</v>
      </c>
      <c r="ET26" t="e">
        <f>IF(#REF!,"AAAAAE/+15U=",0)</f>
        <v>#REF!</v>
      </c>
      <c r="EU26" t="e">
        <f>IF(#REF!,"AAAAAE/+15Y=",0)</f>
        <v>#REF!</v>
      </c>
      <c r="EV26" t="e">
        <f>IF(#REF!,"AAAAAE/+15c=",0)</f>
        <v>#REF!</v>
      </c>
      <c r="EW26" t="e">
        <f>IF(#REF!,"AAAAAE/+15g=",0)</f>
        <v>#REF!</v>
      </c>
      <c r="EX26" t="e">
        <f>IF(#REF!,"AAAAAE/+15k=",0)</f>
        <v>#REF!</v>
      </c>
      <c r="EY26" t="e">
        <f>IF(#REF!,"AAAAAE/+15o=",0)</f>
        <v>#REF!</v>
      </c>
      <c r="EZ26" t="e">
        <f>IF(#REF!,"AAAAAE/+15s=",0)</f>
        <v>#REF!</v>
      </c>
      <c r="FA26" t="e">
        <f>IF(#REF!,"AAAAAE/+15w=",0)</f>
        <v>#REF!</v>
      </c>
      <c r="FB26" t="e">
        <f>IF(#REF!,"AAAAAE/+150=",0)</f>
        <v>#REF!</v>
      </c>
      <c r="FC26" t="e">
        <f>IF(#REF!,"AAAAAE/+154=",0)</f>
        <v>#REF!</v>
      </c>
      <c r="FD26" t="e">
        <f>IF(#REF!,"AAAAAE/+158=",0)</f>
        <v>#REF!</v>
      </c>
      <c r="FE26" t="e">
        <f>IF(#REF!,"AAAAAE/+16A=",0)</f>
        <v>#REF!</v>
      </c>
      <c r="FF26" t="e">
        <f>IF(#REF!,"AAAAAE/+16E=",0)</f>
        <v>#REF!</v>
      </c>
      <c r="FG26" t="e">
        <f>IF(#REF!,"AAAAAE/+16I=",0)</f>
        <v>#REF!</v>
      </c>
      <c r="FH26" t="e">
        <f>IF(#REF!,"AAAAAE/+16M=",0)</f>
        <v>#REF!</v>
      </c>
      <c r="FI26" t="e">
        <f>IF(#REF!,"AAAAAE/+16Q=",0)</f>
        <v>#REF!</v>
      </c>
      <c r="FJ26" t="e">
        <f>IF(#REF!,"AAAAAE/+16U=",0)</f>
        <v>#REF!</v>
      </c>
      <c r="FK26" t="e">
        <f>IF(#REF!,"AAAAAE/+16Y=",0)</f>
        <v>#REF!</v>
      </c>
      <c r="FL26" t="e">
        <f>IF(#REF!,"AAAAAE/+16c=",0)</f>
        <v>#REF!</v>
      </c>
      <c r="FM26" t="e">
        <f>IF(#REF!,"AAAAAE/+16g=",0)</f>
        <v>#REF!</v>
      </c>
      <c r="FN26" t="e">
        <f>IF(#REF!,"AAAAAE/+16k=",0)</f>
        <v>#REF!</v>
      </c>
      <c r="FO26" t="e">
        <f>IF(#REF!,"AAAAAE/+16o=",0)</f>
        <v>#REF!</v>
      </c>
      <c r="FP26" t="e">
        <f>IF(#REF!,"AAAAAE/+16s=",0)</f>
        <v>#REF!</v>
      </c>
      <c r="FQ26" t="e">
        <f>AND(#REF!,"AAAAAE/+16w=")</f>
        <v>#REF!</v>
      </c>
      <c r="FR26" t="e">
        <f>AND(#REF!,"AAAAAE/+160=")</f>
        <v>#REF!</v>
      </c>
      <c r="FS26" t="e">
        <f>AND(#REF!,"AAAAAE/+164=")</f>
        <v>#REF!</v>
      </c>
      <c r="FT26" t="e">
        <f>AND(#REF!,"AAAAAE/+168=")</f>
        <v>#REF!</v>
      </c>
      <c r="FU26" t="e">
        <f>AND(#REF!,"AAAAAE/+17A=")</f>
        <v>#REF!</v>
      </c>
      <c r="FV26" t="e">
        <f>AND(#REF!,"AAAAAE/+17E=")</f>
        <v>#REF!</v>
      </c>
      <c r="FW26" t="e">
        <f>AND(#REF!,"AAAAAE/+17I=")</f>
        <v>#REF!</v>
      </c>
      <c r="FX26" t="e">
        <f>AND(#REF!,"AAAAAE/+17M=")</f>
        <v>#REF!</v>
      </c>
      <c r="FY26" t="e">
        <f>AND(#REF!,"AAAAAE/+17Q=")</f>
        <v>#REF!</v>
      </c>
      <c r="FZ26" t="e">
        <f>AND(#REF!,"AAAAAE/+17U=")</f>
        <v>#REF!</v>
      </c>
      <c r="GA26" t="e">
        <f>AND(#REF!,"AAAAAE/+17Y=")</f>
        <v>#REF!</v>
      </c>
      <c r="GB26" t="e">
        <f>AND(#REF!,"AAAAAE/+17c=")</f>
        <v>#REF!</v>
      </c>
      <c r="GC26" t="e">
        <f>AND(#REF!,"AAAAAE/+17g=")</f>
        <v>#REF!</v>
      </c>
      <c r="GD26" t="e">
        <f>AND(#REF!,"AAAAAE/+17k=")</f>
        <v>#REF!</v>
      </c>
      <c r="GE26" t="e">
        <f>AND(#REF!,"AAAAAE/+17o=")</f>
        <v>#REF!</v>
      </c>
      <c r="GF26" t="e">
        <f>AND(#REF!,"AAAAAE/+17s=")</f>
        <v>#REF!</v>
      </c>
      <c r="GG26" t="e">
        <f>AND(#REF!,"AAAAAE/+17w=")</f>
        <v>#REF!</v>
      </c>
      <c r="GH26" t="e">
        <f>AND(#REF!,"AAAAAE/+170=")</f>
        <v>#REF!</v>
      </c>
      <c r="GI26" t="e">
        <f>AND(#REF!,"AAAAAE/+174=")</f>
        <v>#REF!</v>
      </c>
      <c r="GJ26" t="e">
        <f>AND(#REF!,"AAAAAE/+178=")</f>
        <v>#REF!</v>
      </c>
      <c r="GK26" t="e">
        <f>AND(#REF!,"AAAAAE/+18A=")</f>
        <v>#REF!</v>
      </c>
      <c r="GL26" t="e">
        <f>AND(#REF!,"AAAAAE/+18E=")</f>
        <v>#REF!</v>
      </c>
      <c r="GM26" t="e">
        <f>AND(#REF!,"AAAAAE/+18I=")</f>
        <v>#REF!</v>
      </c>
      <c r="GN26" t="e">
        <f>AND(#REF!,"AAAAAE/+18M=")</f>
        <v>#REF!</v>
      </c>
      <c r="GO26" t="e">
        <f>IF(#REF!,"AAAAAE/+18Q=",0)</f>
        <v>#REF!</v>
      </c>
      <c r="GP26" t="e">
        <f>AND(#REF!,"AAAAAE/+18U=")</f>
        <v>#REF!</v>
      </c>
      <c r="GQ26" t="e">
        <f>AND(#REF!,"AAAAAE/+18Y=")</f>
        <v>#REF!</v>
      </c>
      <c r="GR26" t="e">
        <f>AND(#REF!,"AAAAAE/+18c=")</f>
        <v>#REF!</v>
      </c>
      <c r="GS26" t="e">
        <f>AND(#REF!,"AAAAAE/+18g=")</f>
        <v>#REF!</v>
      </c>
      <c r="GT26" t="e">
        <f>AND(#REF!,"AAAAAE/+18k=")</f>
        <v>#REF!</v>
      </c>
      <c r="GU26" t="e">
        <f>AND(#REF!,"AAAAAE/+18o=")</f>
        <v>#REF!</v>
      </c>
      <c r="GV26" t="e">
        <f>AND(#REF!,"AAAAAE/+18s=")</f>
        <v>#REF!</v>
      </c>
      <c r="GW26" t="e">
        <f>AND(#REF!,"AAAAAE/+18w=")</f>
        <v>#REF!</v>
      </c>
      <c r="GX26" t="e">
        <f>AND(#REF!,"AAAAAE/+180=")</f>
        <v>#REF!</v>
      </c>
      <c r="GY26" t="e">
        <f>AND(#REF!,"AAAAAE/+184=")</f>
        <v>#REF!</v>
      </c>
      <c r="GZ26" t="e">
        <f>AND(#REF!,"AAAAAE/+188=")</f>
        <v>#REF!</v>
      </c>
      <c r="HA26" t="e">
        <f>AND(#REF!,"AAAAAE/+19A=")</f>
        <v>#REF!</v>
      </c>
      <c r="HB26" t="e">
        <f>AND(#REF!,"AAAAAE/+19E=")</f>
        <v>#REF!</v>
      </c>
      <c r="HC26" t="e">
        <f>AND(#REF!,"AAAAAE/+19I=")</f>
        <v>#REF!</v>
      </c>
      <c r="HD26" t="e">
        <f>AND(#REF!,"AAAAAE/+19M=")</f>
        <v>#REF!</v>
      </c>
      <c r="HE26" t="e">
        <f>AND(#REF!,"AAAAAE/+19Q=")</f>
        <v>#REF!</v>
      </c>
      <c r="HF26" t="e">
        <f>AND(#REF!,"AAAAAE/+19U=")</f>
        <v>#REF!</v>
      </c>
      <c r="HG26" t="e">
        <f>AND(#REF!,"AAAAAE/+19Y=")</f>
        <v>#REF!</v>
      </c>
      <c r="HH26" t="e">
        <f>AND(#REF!,"AAAAAE/+19c=")</f>
        <v>#REF!</v>
      </c>
      <c r="HI26" t="e">
        <f>AND(#REF!,"AAAAAE/+19g=")</f>
        <v>#REF!</v>
      </c>
      <c r="HJ26" t="e">
        <f>AND(#REF!,"AAAAAE/+19k=")</f>
        <v>#REF!</v>
      </c>
      <c r="HK26" t="e">
        <f>AND(#REF!,"AAAAAE/+19o=")</f>
        <v>#REF!</v>
      </c>
      <c r="HL26" t="e">
        <f>AND(#REF!,"AAAAAE/+19s=")</f>
        <v>#REF!</v>
      </c>
      <c r="HM26" t="e">
        <f>AND(#REF!,"AAAAAE/+19w=")</f>
        <v>#REF!</v>
      </c>
      <c r="HN26" t="e">
        <f>IF(AprendizajeColaborativo!#REF!,"AAAAAE/+190=",0)</f>
        <v>#REF!</v>
      </c>
      <c r="HO26" t="e">
        <f>AND(AprendizajeColaborativo!#REF!,"AAAAAE/+194=")</f>
        <v>#REF!</v>
      </c>
      <c r="HP26" t="e">
        <f>AND(AprendizajeColaborativo!#REF!,"AAAAAE/+198=")</f>
        <v>#REF!</v>
      </c>
      <c r="HQ26" t="e">
        <f>AND(AprendizajeColaborativo!#REF!,"AAAAAE/+1+A=")</f>
        <v>#REF!</v>
      </c>
      <c r="HR26" t="e">
        <f>AND(AprendizajeColaborativo!#REF!,"AAAAAE/+1+E=")</f>
        <v>#REF!</v>
      </c>
      <c r="HS26" t="e">
        <f>AND(AprendizajeColaborativo!#REF!,"AAAAAE/+1+I=")</f>
        <v>#REF!</v>
      </c>
      <c r="HT26" t="e">
        <f>AND(AprendizajeColaborativo!#REF!,"AAAAAE/+1+M=")</f>
        <v>#REF!</v>
      </c>
      <c r="HU26" t="e">
        <f>AND(AprendizajeColaborativo!#REF!,"AAAAAE/+1+Q=")</f>
        <v>#REF!</v>
      </c>
      <c r="HV26" t="e">
        <f>AND(AprendizajeColaborativo!#REF!,"AAAAAE/+1+U=")</f>
        <v>#REF!</v>
      </c>
      <c r="HW26" t="e">
        <f>AND(AprendizajeColaborativo!#REF!,"AAAAAE/+1+Y=")</f>
        <v>#REF!</v>
      </c>
      <c r="HX26" t="e">
        <f>AND(AprendizajeColaborativo!#REF!,"AAAAAE/+1+c=")</f>
        <v>#REF!</v>
      </c>
      <c r="HY26" t="e">
        <f>IF(AprendizajeColaborativo!#REF!,"AAAAAE/+1+g=",0)</f>
        <v>#REF!</v>
      </c>
      <c r="HZ26" t="e">
        <f>AND(AprendizajeColaborativo!#REF!,"AAAAAE/+1+k=")</f>
        <v>#REF!</v>
      </c>
      <c r="IA26" t="e">
        <f>AND(AprendizajeColaborativo!#REF!,"AAAAAE/+1+o=")</f>
        <v>#REF!</v>
      </c>
      <c r="IB26" t="e">
        <f>AND(AprendizajeColaborativo!#REF!,"AAAAAE/+1+s=")</f>
        <v>#REF!</v>
      </c>
      <c r="IC26" t="e">
        <f>AND(AprendizajeColaborativo!#REF!,"AAAAAE/+1+w=")</f>
        <v>#REF!</v>
      </c>
      <c r="ID26" t="e">
        <f>AND(AprendizajeColaborativo!#REF!,"AAAAAE/+1+0=")</f>
        <v>#REF!</v>
      </c>
      <c r="IE26" t="e">
        <f>AND(AprendizajeColaborativo!#REF!,"AAAAAE/+1+4=")</f>
        <v>#REF!</v>
      </c>
      <c r="IF26" t="e">
        <f>AND(AprendizajeColaborativo!#REF!,"AAAAAE/+1+8=")</f>
        <v>#REF!</v>
      </c>
      <c r="IG26" t="e">
        <f>AND(AprendizajeColaborativo!#REF!,"AAAAAE/+1/A=")</f>
        <v>#REF!</v>
      </c>
      <c r="IH26" t="e">
        <f>AND(AprendizajeColaborativo!#REF!,"AAAAAE/+1/E=")</f>
        <v>#REF!</v>
      </c>
      <c r="II26" t="e">
        <f>AND(AprendizajeColaborativo!#REF!,"AAAAAE/+1/I=")</f>
        <v>#REF!</v>
      </c>
      <c r="IJ26" t="e">
        <f>IF(AprendizajeColaborativo!#REF!,"AAAAAE/+1/M=",0)</f>
        <v>#REF!</v>
      </c>
      <c r="IK26" t="e">
        <f>AND(AprendizajeColaborativo!#REF!,"AAAAAE/+1/Q=")</f>
        <v>#REF!</v>
      </c>
      <c r="IL26" t="e">
        <f>AND(AprendizajeColaborativo!#REF!,"AAAAAE/+1/U=")</f>
        <v>#REF!</v>
      </c>
      <c r="IM26" t="e">
        <f>AND(AprendizajeColaborativo!#REF!,"AAAAAE/+1/Y=")</f>
        <v>#REF!</v>
      </c>
      <c r="IN26" t="e">
        <f>AND(AprendizajeColaborativo!#REF!,"AAAAAE/+1/c=")</f>
        <v>#REF!</v>
      </c>
      <c r="IO26" t="e">
        <f>AND(AprendizajeColaborativo!#REF!,"AAAAAE/+1/g=")</f>
        <v>#REF!</v>
      </c>
      <c r="IP26" t="e">
        <f>AND(AprendizajeColaborativo!#REF!,"AAAAAE/+1/k=")</f>
        <v>#REF!</v>
      </c>
      <c r="IQ26" t="e">
        <f>AND(AprendizajeColaborativo!#REF!,"AAAAAE/+1/o=")</f>
        <v>#REF!</v>
      </c>
      <c r="IR26" t="e">
        <f>AND(AprendizajeColaborativo!#REF!,"AAAAAE/+1/s=")</f>
        <v>#REF!</v>
      </c>
      <c r="IS26" t="e">
        <f>AND(AprendizajeColaborativo!#REF!,"AAAAAE/+1/w=")</f>
        <v>#REF!</v>
      </c>
      <c r="IT26" t="e">
        <f>AND(AprendizajeColaborativo!#REF!,"AAAAAE/+1/0=")</f>
        <v>#REF!</v>
      </c>
      <c r="IU26" t="e">
        <f>IF(AprendizajeColaborativo!#REF!,"AAAAAE/+1/4=",0)</f>
        <v>#REF!</v>
      </c>
      <c r="IV26" t="e">
        <f>AND(AprendizajeColaborativo!#REF!,"AAAAAE/+1/8=")</f>
        <v>#REF!</v>
      </c>
    </row>
    <row r="27" spans="1:256" x14ac:dyDescent="0.2">
      <c r="A27" t="e">
        <f>AND(AprendizajeColaborativo!#REF!,"AAAAADv/zwA=")</f>
        <v>#REF!</v>
      </c>
      <c r="B27" t="e">
        <f>AND(AprendizajeColaborativo!#REF!,"AAAAADv/zwE=")</f>
        <v>#REF!</v>
      </c>
      <c r="C27" t="e">
        <f>AND(AprendizajeColaborativo!#REF!,"AAAAADv/zwI=")</f>
        <v>#REF!</v>
      </c>
      <c r="D27" t="e">
        <f>AND(AprendizajeColaborativo!#REF!,"AAAAADv/zwM=")</f>
        <v>#REF!</v>
      </c>
      <c r="E27" t="e">
        <f>AND(AprendizajeColaborativo!#REF!,"AAAAADv/zwQ=")</f>
        <v>#REF!</v>
      </c>
      <c r="F27" t="e">
        <f>AND(AprendizajeColaborativo!#REF!,"AAAAADv/zwU=")</f>
        <v>#REF!</v>
      </c>
      <c r="G27" t="e">
        <f>AND(AprendizajeColaborativo!#REF!,"AAAAADv/zwY=")</f>
        <v>#REF!</v>
      </c>
      <c r="H27" t="e">
        <f>AND(AprendizajeColaborativo!#REF!,"AAAAADv/zwc=")</f>
        <v>#REF!</v>
      </c>
      <c r="I27" t="e">
        <f>AND(AprendizajeColaborativo!#REF!,"AAAAADv/zwg=")</f>
        <v>#REF!</v>
      </c>
      <c r="J27" t="e">
        <f>IF(AprendizajeColaborativo!#REF!,"AAAAADv/zwk=",0)</f>
        <v>#REF!</v>
      </c>
      <c r="K27" t="e">
        <f>AND(AprendizajeColaborativo!#REF!,"AAAAADv/zwo=")</f>
        <v>#REF!</v>
      </c>
      <c r="L27" t="e">
        <f>AND(AprendizajeColaborativo!#REF!,"AAAAADv/zws=")</f>
        <v>#REF!</v>
      </c>
      <c r="M27" t="e">
        <f>AND(AprendizajeColaborativo!#REF!,"AAAAADv/zww=")</f>
        <v>#REF!</v>
      </c>
      <c r="N27" t="e">
        <f>AND(AprendizajeColaborativo!#REF!,"AAAAADv/zw0=")</f>
        <v>#REF!</v>
      </c>
      <c r="O27" t="e">
        <f>AND(AprendizajeColaborativo!#REF!,"AAAAADv/zw4=")</f>
        <v>#REF!</v>
      </c>
      <c r="P27" t="e">
        <f>AND(AprendizajeColaborativo!#REF!,"AAAAADv/zw8=")</f>
        <v>#REF!</v>
      </c>
      <c r="Q27" t="e">
        <f>AND(AprendizajeColaborativo!#REF!,"AAAAADv/zxA=")</f>
        <v>#REF!</v>
      </c>
      <c r="R27" t="e">
        <f>AND(AprendizajeColaborativo!#REF!,"AAAAADv/zxE=")</f>
        <v>#REF!</v>
      </c>
      <c r="S27" t="e">
        <f>AND(AprendizajeColaborativo!#REF!,"AAAAADv/zxI=")</f>
        <v>#REF!</v>
      </c>
      <c r="T27" t="e">
        <f>AND(AprendizajeColaborativo!#REF!,"AAAAADv/zxM=")</f>
        <v>#REF!</v>
      </c>
      <c r="U27">
        <f>IF(AprendizajeColaborativo!1:1,"AAAAADv/zxQ=",0)</f>
        <v>0</v>
      </c>
      <c r="V27" t="e">
        <f>AND(AprendizajeColaborativo!A1,"AAAAADv/zxU=")</f>
        <v>#VALUE!</v>
      </c>
      <c r="W27" t="e">
        <f>AND(AprendizajeColaborativo!#REF!,"AAAAADv/zxY=")</f>
        <v>#REF!</v>
      </c>
      <c r="X27" t="e">
        <f>AND(AprendizajeColaborativo!B1,"AAAAADv/zxc=")</f>
        <v>#VALUE!</v>
      </c>
      <c r="Y27" t="e">
        <f>AND(AprendizajeColaborativo!C1,"AAAAADv/zxg=")</f>
        <v>#VALUE!</v>
      </c>
      <c r="Z27" t="e">
        <f>AND(AprendizajeColaborativo!D1,"AAAAADv/zxk=")</f>
        <v>#VALUE!</v>
      </c>
      <c r="AA27" t="e">
        <f>AND(AprendizajeColaborativo!E1,"AAAAADv/zxo=")</f>
        <v>#VALUE!</v>
      </c>
      <c r="AB27" t="e">
        <f>AND(AprendizajeColaborativo!#REF!,"AAAAADv/zxs=")</f>
        <v>#REF!</v>
      </c>
      <c r="AC27" t="e">
        <f>AND(AprendizajeColaborativo!#REF!,"AAAAADv/zxw=")</f>
        <v>#REF!</v>
      </c>
      <c r="AD27" t="e">
        <f>AND(AprendizajeColaborativo!#REF!,"AAAAADv/zx0=")</f>
        <v>#REF!</v>
      </c>
      <c r="AE27" t="e">
        <f>AND(AprendizajeColaborativo!G1,"AAAAADv/zx4=")</f>
        <v>#VALUE!</v>
      </c>
      <c r="AF27">
        <f>IF(AprendizajeColaborativo!2:2,"AAAAADv/zx8=",0)</f>
        <v>0</v>
      </c>
      <c r="AG27" t="e">
        <f>AND(AprendizajeColaborativo!A2,"AAAAADv/zyA=")</f>
        <v>#VALUE!</v>
      </c>
      <c r="AH27" t="e">
        <f>AND(AprendizajeColaborativo!#REF!,"AAAAADv/zyE=")</f>
        <v>#REF!</v>
      </c>
      <c r="AI27" t="e">
        <f>AND(AprendizajeColaborativo!B2,"AAAAADv/zyI=")</f>
        <v>#VALUE!</v>
      </c>
      <c r="AJ27" t="e">
        <f>AND(AprendizajeColaborativo!C2,"AAAAADv/zyM=")</f>
        <v>#VALUE!</v>
      </c>
      <c r="AK27" t="e">
        <f>AND(AprendizajeColaborativo!D2,"AAAAADv/zyQ=")</f>
        <v>#VALUE!</v>
      </c>
      <c r="AL27" t="e">
        <f>AND(AprendizajeColaborativo!E2,"AAAAADv/zyU=")</f>
        <v>#VALUE!</v>
      </c>
      <c r="AM27" t="e">
        <f>AND(AprendizajeColaborativo!#REF!,"AAAAADv/zyY=")</f>
        <v>#REF!</v>
      </c>
      <c r="AN27" t="e">
        <f>AND(AprendizajeColaborativo!#REF!,"AAAAADv/zyc=")</f>
        <v>#REF!</v>
      </c>
      <c r="AO27" t="e">
        <f>AND(AprendizajeColaborativo!#REF!,"AAAAADv/zyg=")</f>
        <v>#REF!</v>
      </c>
      <c r="AP27" t="e">
        <f>AND(AprendizajeColaborativo!G2,"AAAAADv/zyk=")</f>
        <v>#VALUE!</v>
      </c>
      <c r="AQ27">
        <f>IF(AprendizajeColaborativo!3:3,"AAAAADv/zyo=",0)</f>
        <v>0</v>
      </c>
      <c r="AR27" t="e">
        <f>AND(AprendizajeColaborativo!A3,"AAAAADv/zys=")</f>
        <v>#VALUE!</v>
      </c>
      <c r="AS27" t="e">
        <f>AND(AprendizajeColaborativo!#REF!,"AAAAADv/zyw=")</f>
        <v>#REF!</v>
      </c>
      <c r="AT27" t="e">
        <f>AND(AprendizajeColaborativo!B3,"AAAAADv/zy0=")</f>
        <v>#VALUE!</v>
      </c>
      <c r="AU27" t="e">
        <f>AND(AprendizajeColaborativo!C3,"AAAAADv/zy4=")</f>
        <v>#VALUE!</v>
      </c>
      <c r="AV27" t="e">
        <f>AND(AprendizajeColaborativo!D3,"AAAAADv/zy8=")</f>
        <v>#VALUE!</v>
      </c>
      <c r="AW27" t="e">
        <f>AND(AprendizajeColaborativo!E3,"AAAAADv/zzA=")</f>
        <v>#VALUE!</v>
      </c>
      <c r="AX27" t="e">
        <f>AND(AprendizajeColaborativo!#REF!,"AAAAADv/zzE=")</f>
        <v>#REF!</v>
      </c>
      <c r="AY27" t="e">
        <f>AND(AprendizajeColaborativo!#REF!,"AAAAADv/zzI=")</f>
        <v>#REF!</v>
      </c>
      <c r="AZ27" t="e">
        <f>AND(AprendizajeColaborativo!#REF!,"AAAAADv/zzM=")</f>
        <v>#REF!</v>
      </c>
      <c r="BA27" t="e">
        <f>AND(AprendizajeColaborativo!G3,"AAAAADv/zzQ=")</f>
        <v>#VALUE!</v>
      </c>
      <c r="BB27">
        <f>IF(AprendizajeColaborativo!4:4,"AAAAADv/zzU=",0)</f>
        <v>0</v>
      </c>
      <c r="BC27" t="e">
        <f>AND(AprendizajeColaborativo!A4,"AAAAADv/zzY=")</f>
        <v>#VALUE!</v>
      </c>
      <c r="BD27" t="e">
        <f>AND(AprendizajeColaborativo!#REF!,"AAAAADv/zzc=")</f>
        <v>#REF!</v>
      </c>
      <c r="BE27" t="e">
        <f>AND(AprendizajeColaborativo!B4,"AAAAADv/zzg=")</f>
        <v>#VALUE!</v>
      </c>
      <c r="BF27" t="e">
        <f>AND(AprendizajeColaborativo!C4,"AAAAADv/zzk=")</f>
        <v>#VALUE!</v>
      </c>
      <c r="BG27" t="e">
        <f>AND(AprendizajeColaborativo!D4,"AAAAADv/zzo=")</f>
        <v>#VALUE!</v>
      </c>
      <c r="BH27" t="e">
        <f>AND(AprendizajeColaborativo!E4,"AAAAADv/zzs=")</f>
        <v>#VALUE!</v>
      </c>
      <c r="BI27" t="e">
        <f>AND(AprendizajeColaborativo!#REF!,"AAAAADv/zzw=")</f>
        <v>#REF!</v>
      </c>
      <c r="BJ27" t="e">
        <f>AND(AprendizajeColaborativo!#REF!,"AAAAADv/zz0=")</f>
        <v>#REF!</v>
      </c>
      <c r="BK27" t="e">
        <f>AND(AprendizajeColaborativo!#REF!,"AAAAADv/zz4=")</f>
        <v>#REF!</v>
      </c>
      <c r="BL27" t="e">
        <f>AND(AprendizajeColaborativo!G4,"AAAAADv/zz8=")</f>
        <v>#VALUE!</v>
      </c>
      <c r="BM27">
        <f>IF(AprendizajeColaborativo!5:5,"AAAAADv/z0A=",0)</f>
        <v>0</v>
      </c>
      <c r="BN27" t="e">
        <f>AND(AprendizajeColaborativo!A5,"AAAAADv/z0E=")</f>
        <v>#VALUE!</v>
      </c>
      <c r="BO27" t="e">
        <f>AND(AprendizajeColaborativo!#REF!,"AAAAADv/z0I=")</f>
        <v>#REF!</v>
      </c>
      <c r="BP27" t="e">
        <f>AND(AprendizajeColaborativo!B5,"AAAAADv/z0M=")</f>
        <v>#VALUE!</v>
      </c>
      <c r="BQ27" t="e">
        <f>AND(AprendizajeColaborativo!C5,"AAAAADv/z0Q=")</f>
        <v>#VALUE!</v>
      </c>
      <c r="BR27" t="e">
        <f>AND(AprendizajeColaborativo!D5,"AAAAADv/z0U=")</f>
        <v>#VALUE!</v>
      </c>
      <c r="BS27" t="e">
        <f>AND(AprendizajeColaborativo!E5,"AAAAADv/z0Y=")</f>
        <v>#VALUE!</v>
      </c>
      <c r="BT27" t="e">
        <f>AND(AprendizajeColaborativo!#REF!,"AAAAADv/z0c=")</f>
        <v>#REF!</v>
      </c>
      <c r="BU27" t="e">
        <f>AND(AprendizajeColaborativo!#REF!,"AAAAADv/z0g=")</f>
        <v>#REF!</v>
      </c>
      <c r="BV27" t="e">
        <f>AND(AprendizajeColaborativo!#REF!,"AAAAADv/z0k=")</f>
        <v>#REF!</v>
      </c>
      <c r="BW27" t="e">
        <f>AND(AprendizajeColaborativo!G5,"AAAAADv/z0o=")</f>
        <v>#VALUE!</v>
      </c>
      <c r="BX27">
        <f>IF(AprendizajeColaborativo!6:6,"AAAAADv/z0s=",0)</f>
        <v>0</v>
      </c>
      <c r="BY27" t="e">
        <f>AND(AprendizajeColaborativo!A6,"AAAAADv/z0w=")</f>
        <v>#VALUE!</v>
      </c>
      <c r="BZ27" t="e">
        <f>AND(AprendizajeColaborativo!#REF!,"AAAAADv/z00=")</f>
        <v>#REF!</v>
      </c>
      <c r="CA27" t="e">
        <f>AND(AprendizajeColaborativo!B6,"AAAAADv/z04=")</f>
        <v>#VALUE!</v>
      </c>
      <c r="CB27" t="e">
        <f>AND(AprendizajeColaborativo!C6,"AAAAADv/z08=")</f>
        <v>#VALUE!</v>
      </c>
      <c r="CC27" t="e">
        <f>AND(AprendizajeColaborativo!D6,"AAAAADv/z1A=")</f>
        <v>#VALUE!</v>
      </c>
      <c r="CD27" t="e">
        <f>AND(AprendizajeColaborativo!E6,"AAAAADv/z1E=")</f>
        <v>#VALUE!</v>
      </c>
      <c r="CE27" t="e">
        <f>AND(AprendizajeColaborativo!#REF!,"AAAAADv/z1I=")</f>
        <v>#REF!</v>
      </c>
      <c r="CF27" t="e">
        <f>AND(AprendizajeColaborativo!#REF!,"AAAAADv/z1M=")</f>
        <v>#REF!</v>
      </c>
      <c r="CG27" t="e">
        <f>AND(AprendizajeColaborativo!#REF!,"AAAAADv/z1Q=")</f>
        <v>#REF!</v>
      </c>
      <c r="CH27" t="e">
        <f>AND(AprendizajeColaborativo!G6,"AAAAADv/z1U=")</f>
        <v>#VALUE!</v>
      </c>
      <c r="CI27">
        <f>IF(AprendizajeColaborativo!7:7,"AAAAADv/z1Y=",0)</f>
        <v>0</v>
      </c>
      <c r="CJ27" t="e">
        <f>AND(AprendizajeColaborativo!A7,"AAAAADv/z1c=")</f>
        <v>#VALUE!</v>
      </c>
      <c r="CK27" t="e">
        <f>AND(AprendizajeColaborativo!#REF!,"AAAAADv/z1g=")</f>
        <v>#REF!</v>
      </c>
      <c r="CL27" t="e">
        <f>AND(AprendizajeColaborativo!B7,"AAAAADv/z1k=")</f>
        <v>#VALUE!</v>
      </c>
      <c r="CM27" t="e">
        <f>AND(AprendizajeColaborativo!C7,"AAAAADv/z1o=")</f>
        <v>#VALUE!</v>
      </c>
      <c r="CN27" t="e">
        <f>AND(AprendizajeColaborativo!D7,"AAAAADv/z1s=")</f>
        <v>#VALUE!</v>
      </c>
      <c r="CO27" t="e">
        <f>AND(AprendizajeColaborativo!E7,"AAAAADv/z1w=")</f>
        <v>#VALUE!</v>
      </c>
      <c r="CP27" t="e">
        <f>AND(AprendizajeColaborativo!#REF!,"AAAAADv/z10=")</f>
        <v>#REF!</v>
      </c>
      <c r="CQ27" t="e">
        <f>AND(AprendizajeColaborativo!#REF!,"AAAAADv/z14=")</f>
        <v>#REF!</v>
      </c>
      <c r="CR27" t="e">
        <f>AND(AprendizajeColaborativo!#REF!,"AAAAADv/z18=")</f>
        <v>#REF!</v>
      </c>
      <c r="CS27" t="e">
        <f>AND(AprendizajeColaborativo!G7,"AAAAADv/z2A=")</f>
        <v>#VALUE!</v>
      </c>
      <c r="CT27">
        <f>IF(AprendizajeColaborativo!8:8,"AAAAADv/z2E=",0)</f>
        <v>0</v>
      </c>
      <c r="CU27" t="e">
        <f>AND(AprendizajeColaborativo!A8,"AAAAADv/z2I=")</f>
        <v>#VALUE!</v>
      </c>
      <c r="CV27" t="e">
        <f>AND(AprendizajeColaborativo!#REF!,"AAAAADv/z2M=")</f>
        <v>#REF!</v>
      </c>
      <c r="CW27" t="e">
        <f>AND(AprendizajeColaborativo!B8,"AAAAADv/z2Q=")</f>
        <v>#VALUE!</v>
      </c>
      <c r="CX27" t="e">
        <f>AND(AprendizajeColaborativo!C8,"AAAAADv/z2U=")</f>
        <v>#VALUE!</v>
      </c>
      <c r="CY27" t="e">
        <f>AND(AprendizajeColaborativo!D8,"AAAAADv/z2Y=")</f>
        <v>#VALUE!</v>
      </c>
      <c r="CZ27" t="e">
        <f>AND(AprendizajeColaborativo!E8,"AAAAADv/z2c=")</f>
        <v>#VALUE!</v>
      </c>
      <c r="DA27" t="e">
        <f>AND(AprendizajeColaborativo!#REF!,"AAAAADv/z2g=")</f>
        <v>#REF!</v>
      </c>
      <c r="DB27" t="e">
        <f>AND(AprendizajeColaborativo!#REF!,"AAAAADv/z2k=")</f>
        <v>#REF!</v>
      </c>
      <c r="DC27" t="e">
        <f>AND(AprendizajeColaborativo!#REF!,"AAAAADv/z2o=")</f>
        <v>#REF!</v>
      </c>
      <c r="DD27" t="e">
        <f>AND(AprendizajeColaborativo!G8,"AAAAADv/z2s=")</f>
        <v>#VALUE!</v>
      </c>
      <c r="DE27">
        <f>IF(AprendizajeColaborativo!9:9,"AAAAADv/z2w=",0)</f>
        <v>0</v>
      </c>
      <c r="DF27" t="e">
        <f>AND(AprendizajeColaborativo!A9,"AAAAADv/z20=")</f>
        <v>#VALUE!</v>
      </c>
      <c r="DG27" t="e">
        <f>AND(AprendizajeColaborativo!#REF!,"AAAAADv/z24=")</f>
        <v>#REF!</v>
      </c>
      <c r="DH27" t="e">
        <f>AND(AprendizajeColaborativo!B9,"AAAAADv/z28=")</f>
        <v>#VALUE!</v>
      </c>
      <c r="DI27" t="e">
        <f>AND(AprendizajeColaborativo!C9,"AAAAADv/z3A=")</f>
        <v>#VALUE!</v>
      </c>
      <c r="DJ27" t="e">
        <f>AND(AprendizajeColaborativo!D9,"AAAAADv/z3E=")</f>
        <v>#VALUE!</v>
      </c>
      <c r="DK27" t="e">
        <f>AND(AprendizajeColaborativo!E9,"AAAAADv/z3I=")</f>
        <v>#VALUE!</v>
      </c>
      <c r="DL27" t="e">
        <f>AND(AprendizajeColaborativo!#REF!,"AAAAADv/z3M=")</f>
        <v>#REF!</v>
      </c>
      <c r="DM27" t="e">
        <f>AND(AprendizajeColaborativo!#REF!,"AAAAADv/z3Q=")</f>
        <v>#REF!</v>
      </c>
      <c r="DN27" t="e">
        <f>AND(AprendizajeColaborativo!#REF!,"AAAAADv/z3U=")</f>
        <v>#REF!</v>
      </c>
      <c r="DO27" t="e">
        <f>AND(AprendizajeColaborativo!G9,"AAAAADv/z3Y=")</f>
        <v>#VALUE!</v>
      </c>
      <c r="DP27">
        <f>IF(AprendizajeColaborativo!10:10,"AAAAADv/z3c=",0)</f>
        <v>0</v>
      </c>
      <c r="DQ27" t="e">
        <f>AND(AprendizajeColaborativo!A10,"AAAAADv/z3g=")</f>
        <v>#VALUE!</v>
      </c>
      <c r="DR27" t="e">
        <f>AND(AprendizajeColaborativo!#REF!,"AAAAADv/z3k=")</f>
        <v>#REF!</v>
      </c>
      <c r="DS27" t="e">
        <f>AND(AprendizajeColaborativo!B10,"AAAAADv/z3o=")</f>
        <v>#VALUE!</v>
      </c>
      <c r="DT27" t="e">
        <f>AND(AprendizajeColaborativo!C10,"AAAAADv/z3s=")</f>
        <v>#VALUE!</v>
      </c>
      <c r="DU27" t="e">
        <f>AND(AprendizajeColaborativo!D10,"AAAAADv/z3w=")</f>
        <v>#VALUE!</v>
      </c>
      <c r="DV27" t="e">
        <f>AND(AprendizajeColaborativo!E10,"AAAAADv/z30=")</f>
        <v>#VALUE!</v>
      </c>
      <c r="DW27" t="e">
        <f>AND(AprendizajeColaborativo!#REF!,"AAAAADv/z34=")</f>
        <v>#REF!</v>
      </c>
      <c r="DX27" t="e">
        <f>AND(AprendizajeColaborativo!#REF!,"AAAAADv/z38=")</f>
        <v>#REF!</v>
      </c>
      <c r="DY27" t="e">
        <f>AND(AprendizajeColaborativo!#REF!,"AAAAADv/z4A=")</f>
        <v>#REF!</v>
      </c>
      <c r="DZ27" t="e">
        <f>AND(AprendizajeColaborativo!G10,"AAAAADv/z4E=")</f>
        <v>#VALUE!</v>
      </c>
      <c r="EA27">
        <f>IF(AprendizajeColaborativo!11:11,"AAAAADv/z4I=",0)</f>
        <v>0</v>
      </c>
      <c r="EB27" t="e">
        <f>AND(AprendizajeColaborativo!A11,"AAAAADv/z4M=")</f>
        <v>#VALUE!</v>
      </c>
      <c r="EC27" t="e">
        <f>AND(AprendizajeColaborativo!#REF!,"AAAAADv/z4Q=")</f>
        <v>#REF!</v>
      </c>
      <c r="ED27" t="e">
        <f>AND(AprendizajeColaborativo!B11,"AAAAADv/z4U=")</f>
        <v>#VALUE!</v>
      </c>
      <c r="EE27" t="e">
        <f>AND(AprendizajeColaborativo!C11,"AAAAADv/z4Y=")</f>
        <v>#VALUE!</v>
      </c>
      <c r="EF27" t="e">
        <f>AND(AprendizajeColaborativo!D11,"AAAAADv/z4c=")</f>
        <v>#VALUE!</v>
      </c>
      <c r="EG27" t="e">
        <f>AND(AprendizajeColaborativo!E11,"AAAAADv/z4g=")</f>
        <v>#VALUE!</v>
      </c>
      <c r="EH27" t="e">
        <f>AND(AprendizajeColaborativo!#REF!,"AAAAADv/z4k=")</f>
        <v>#REF!</v>
      </c>
      <c r="EI27" t="e">
        <f>AND(AprendizajeColaborativo!#REF!,"AAAAADv/z4o=")</f>
        <v>#REF!</v>
      </c>
      <c r="EJ27" t="e">
        <f>AND(AprendizajeColaborativo!#REF!,"AAAAADv/z4s=")</f>
        <v>#REF!</v>
      </c>
      <c r="EK27" t="e">
        <f>AND(AprendizajeColaborativo!G11,"AAAAADv/z4w=")</f>
        <v>#VALUE!</v>
      </c>
      <c r="EL27">
        <f>IF(AprendizajeColaborativo!12:12,"AAAAADv/z40=",0)</f>
        <v>0</v>
      </c>
      <c r="EM27" t="e">
        <f>AND(AprendizajeColaborativo!A12,"AAAAADv/z44=")</f>
        <v>#VALUE!</v>
      </c>
      <c r="EN27" t="e">
        <f>AND(AprendizajeColaborativo!#REF!,"AAAAADv/z48=")</f>
        <v>#REF!</v>
      </c>
      <c r="EO27" t="e">
        <f>AND(AprendizajeColaborativo!B12,"AAAAADv/z5A=")</f>
        <v>#VALUE!</v>
      </c>
      <c r="EP27" t="e">
        <f>AND(AprendizajeColaborativo!C12,"AAAAADv/z5E=")</f>
        <v>#VALUE!</v>
      </c>
      <c r="EQ27" t="e">
        <f>AND(AprendizajeColaborativo!D12,"AAAAADv/z5I=")</f>
        <v>#VALUE!</v>
      </c>
      <c r="ER27" t="e">
        <f>AND(AprendizajeColaborativo!E12,"AAAAADv/z5M=")</f>
        <v>#VALUE!</v>
      </c>
      <c r="ES27" t="e">
        <f>AND(AprendizajeColaborativo!#REF!,"AAAAADv/z5Q=")</f>
        <v>#REF!</v>
      </c>
      <c r="ET27" t="e">
        <f>AND(AprendizajeColaborativo!#REF!,"AAAAADv/z5U=")</f>
        <v>#REF!</v>
      </c>
      <c r="EU27" t="e">
        <f>AND(AprendizajeColaborativo!#REF!,"AAAAADv/z5Y=")</f>
        <v>#REF!</v>
      </c>
      <c r="EV27" t="e">
        <f>AND(AprendizajeColaborativo!G12,"AAAAADv/z5c=")</f>
        <v>#VALUE!</v>
      </c>
      <c r="EW27">
        <f>IF(AprendizajeColaborativo!13:13,"AAAAADv/z5g=",0)</f>
        <v>0</v>
      </c>
      <c r="EX27" t="e">
        <f>AND(AprendizajeColaborativo!A13,"AAAAADv/z5k=")</f>
        <v>#VALUE!</v>
      </c>
      <c r="EY27" t="e">
        <f>AND(AprendizajeColaborativo!#REF!,"AAAAADv/z5o=")</f>
        <v>#REF!</v>
      </c>
      <c r="EZ27" t="e">
        <f>AND(AprendizajeColaborativo!B13,"AAAAADv/z5s=")</f>
        <v>#VALUE!</v>
      </c>
      <c r="FA27" t="e">
        <f>AND(AprendizajeColaborativo!C13,"AAAAADv/z5w=")</f>
        <v>#VALUE!</v>
      </c>
      <c r="FB27" t="e">
        <f>AND(AprendizajeColaborativo!D13,"AAAAADv/z50=")</f>
        <v>#VALUE!</v>
      </c>
      <c r="FC27" t="e">
        <f>AND(AprendizajeColaborativo!E13,"AAAAADv/z54=")</f>
        <v>#VALUE!</v>
      </c>
      <c r="FD27" t="e">
        <f>AND(AprendizajeColaborativo!#REF!,"AAAAADv/z58=")</f>
        <v>#REF!</v>
      </c>
      <c r="FE27" t="e">
        <f>AND(AprendizajeColaborativo!#REF!,"AAAAADv/z6A=")</f>
        <v>#REF!</v>
      </c>
      <c r="FF27" t="e">
        <f>AND(AprendizajeColaborativo!#REF!,"AAAAADv/z6E=")</f>
        <v>#REF!</v>
      </c>
      <c r="FG27" t="e">
        <f>AND(AprendizajeColaborativo!G13,"AAAAADv/z6I=")</f>
        <v>#VALUE!</v>
      </c>
      <c r="FH27">
        <f>IF(AprendizajeColaborativo!14:14,"AAAAADv/z6M=",0)</f>
        <v>0</v>
      </c>
      <c r="FI27" t="e">
        <f>AND(AprendizajeColaborativo!A14,"AAAAADv/z6Q=")</f>
        <v>#VALUE!</v>
      </c>
      <c r="FJ27" t="e">
        <f>AND(AprendizajeColaborativo!#REF!,"AAAAADv/z6U=")</f>
        <v>#REF!</v>
      </c>
      <c r="FK27" t="e">
        <f>AND(AprendizajeColaborativo!B14,"AAAAADv/z6Y=")</f>
        <v>#VALUE!</v>
      </c>
      <c r="FL27" t="e">
        <f>AND(AprendizajeColaborativo!C14,"AAAAADv/z6c=")</f>
        <v>#VALUE!</v>
      </c>
      <c r="FM27" t="e">
        <f>AND(AprendizajeColaborativo!D14,"AAAAADv/z6g=")</f>
        <v>#VALUE!</v>
      </c>
      <c r="FN27" t="e">
        <f>AND(AprendizajeColaborativo!E14,"AAAAADv/z6k=")</f>
        <v>#VALUE!</v>
      </c>
      <c r="FO27" t="e">
        <f>AND(AprendizajeColaborativo!#REF!,"AAAAADv/z6o=")</f>
        <v>#REF!</v>
      </c>
      <c r="FP27" t="e">
        <f>AND(AprendizajeColaborativo!#REF!,"AAAAADv/z6s=")</f>
        <v>#REF!</v>
      </c>
      <c r="FQ27" t="e">
        <f>AND(AprendizajeColaborativo!#REF!,"AAAAADv/z6w=")</f>
        <v>#REF!</v>
      </c>
      <c r="FR27" t="e">
        <f>AND(AprendizajeColaborativo!G14,"AAAAADv/z60=")</f>
        <v>#VALUE!</v>
      </c>
      <c r="FS27">
        <f>IF(AprendizajeColaborativo!15:15,"AAAAADv/z64=",0)</f>
        <v>0</v>
      </c>
      <c r="FT27" t="e">
        <f>AND(AprendizajeColaborativo!A15,"AAAAADv/z68=")</f>
        <v>#VALUE!</v>
      </c>
      <c r="FU27" t="e">
        <f>AND(AprendizajeColaborativo!#REF!,"AAAAADv/z7A=")</f>
        <v>#REF!</v>
      </c>
      <c r="FV27" t="e">
        <f>AND(AprendizajeColaborativo!B15,"AAAAADv/z7E=")</f>
        <v>#VALUE!</v>
      </c>
      <c r="FW27" t="e">
        <f>AND(AprendizajeColaborativo!C15,"AAAAADv/z7I=")</f>
        <v>#VALUE!</v>
      </c>
      <c r="FX27" t="e">
        <f>AND(AprendizajeColaborativo!D15,"AAAAADv/z7M=")</f>
        <v>#VALUE!</v>
      </c>
      <c r="FY27" t="e">
        <f>AND(AprendizajeColaborativo!E15,"AAAAADv/z7Q=")</f>
        <v>#VALUE!</v>
      </c>
      <c r="FZ27" t="e">
        <f>AND(AprendizajeColaborativo!#REF!,"AAAAADv/z7U=")</f>
        <v>#REF!</v>
      </c>
      <c r="GA27" t="e">
        <f>AND(AprendizajeColaborativo!#REF!,"AAAAADv/z7Y=")</f>
        <v>#REF!</v>
      </c>
      <c r="GB27" t="e">
        <f>AND(AprendizajeColaborativo!#REF!,"AAAAADv/z7c=")</f>
        <v>#REF!</v>
      </c>
      <c r="GC27" t="e">
        <f>AND(AprendizajeColaborativo!G15,"AAAAADv/z7g=")</f>
        <v>#VALUE!</v>
      </c>
      <c r="GD27">
        <f>IF(AprendizajeColaborativo!16:16,"AAAAADv/z7k=",0)</f>
        <v>0</v>
      </c>
      <c r="GE27" t="e">
        <f>AND(AprendizajeColaborativo!A16,"AAAAADv/z7o=")</f>
        <v>#VALUE!</v>
      </c>
      <c r="GF27" t="e">
        <f>AND(AprendizajeColaborativo!#REF!,"AAAAADv/z7s=")</f>
        <v>#REF!</v>
      </c>
      <c r="GG27" t="e">
        <f>AND(AprendizajeColaborativo!B16,"AAAAADv/z7w=")</f>
        <v>#VALUE!</v>
      </c>
      <c r="GH27" t="e">
        <f>AND(AprendizajeColaborativo!C16,"AAAAADv/z70=")</f>
        <v>#VALUE!</v>
      </c>
      <c r="GI27" t="e">
        <f>AND(AprendizajeColaborativo!D16,"AAAAADv/z74=")</f>
        <v>#VALUE!</v>
      </c>
      <c r="GJ27" t="e">
        <f>AND(AprendizajeColaborativo!E16,"AAAAADv/z78=")</f>
        <v>#VALUE!</v>
      </c>
      <c r="GK27" t="e">
        <f>AND(AprendizajeColaborativo!#REF!,"AAAAADv/z8A=")</f>
        <v>#REF!</v>
      </c>
      <c r="GL27" t="e">
        <f>AND(AprendizajeColaborativo!#REF!,"AAAAADv/z8E=")</f>
        <v>#REF!</v>
      </c>
      <c r="GM27" t="e">
        <f>AND(AprendizajeColaborativo!#REF!,"AAAAADv/z8I=")</f>
        <v>#REF!</v>
      </c>
      <c r="GN27" t="e">
        <f>AND(AprendizajeColaborativo!G16,"AAAAADv/z8M=")</f>
        <v>#VALUE!</v>
      </c>
      <c r="GO27">
        <f>IF(AprendizajeColaborativo!17:17,"AAAAADv/z8Q=",0)</f>
        <v>0</v>
      </c>
      <c r="GP27" t="e">
        <f>AND(AprendizajeColaborativo!A17,"AAAAADv/z8U=")</f>
        <v>#VALUE!</v>
      </c>
      <c r="GQ27" t="e">
        <f>AND(AprendizajeColaborativo!#REF!,"AAAAADv/z8Y=")</f>
        <v>#REF!</v>
      </c>
      <c r="GR27" t="e">
        <f>AND(AprendizajeColaborativo!B17,"AAAAADv/z8c=")</f>
        <v>#VALUE!</v>
      </c>
      <c r="GS27" t="e">
        <f>AND(AprendizajeColaborativo!C17,"AAAAADv/z8g=")</f>
        <v>#VALUE!</v>
      </c>
      <c r="GT27" t="e">
        <f>AND(AprendizajeColaborativo!D17,"AAAAADv/z8k=")</f>
        <v>#VALUE!</v>
      </c>
      <c r="GU27" t="e">
        <f>AND(AprendizajeColaborativo!E17,"AAAAADv/z8o=")</f>
        <v>#VALUE!</v>
      </c>
      <c r="GV27" t="e">
        <f>AND(AprendizajeColaborativo!#REF!,"AAAAADv/z8s=")</f>
        <v>#REF!</v>
      </c>
      <c r="GW27" t="e">
        <f>AND(AprendizajeColaborativo!#REF!,"AAAAADv/z8w=")</f>
        <v>#REF!</v>
      </c>
      <c r="GX27" t="e">
        <f>AND(AprendizajeColaborativo!#REF!,"AAAAADv/z80=")</f>
        <v>#REF!</v>
      </c>
      <c r="GY27" t="e">
        <f>AND(AprendizajeColaborativo!G17,"AAAAADv/z84=")</f>
        <v>#VALUE!</v>
      </c>
      <c r="GZ27">
        <f>IF(AprendizajeColaborativo!18:18,"AAAAADv/z88=",0)</f>
        <v>0</v>
      </c>
      <c r="HA27" t="e">
        <f>AND(AprendizajeColaborativo!A18,"AAAAADv/z9A=")</f>
        <v>#VALUE!</v>
      </c>
      <c r="HB27" t="e">
        <f>AND(AprendizajeColaborativo!#REF!,"AAAAADv/z9E=")</f>
        <v>#REF!</v>
      </c>
      <c r="HC27" t="e">
        <f>AND(AprendizajeColaborativo!B18,"AAAAADv/z9I=")</f>
        <v>#VALUE!</v>
      </c>
      <c r="HD27" t="e">
        <f>AND(AprendizajeColaborativo!C18,"AAAAADv/z9M=")</f>
        <v>#VALUE!</v>
      </c>
      <c r="HE27" t="e">
        <f>AND(AprendizajeColaborativo!D18,"AAAAADv/z9Q=")</f>
        <v>#VALUE!</v>
      </c>
      <c r="HF27" t="e">
        <f>AND(AprendizajeColaborativo!E18,"AAAAADv/z9U=")</f>
        <v>#VALUE!</v>
      </c>
      <c r="HG27" t="e">
        <f>AND(AprendizajeColaborativo!#REF!,"AAAAADv/z9Y=")</f>
        <v>#REF!</v>
      </c>
      <c r="HH27" t="e">
        <f>AND(AprendizajeColaborativo!#REF!,"AAAAADv/z9c=")</f>
        <v>#REF!</v>
      </c>
      <c r="HI27" t="e">
        <f>AND(AprendizajeColaborativo!#REF!,"AAAAADv/z9g=")</f>
        <v>#REF!</v>
      </c>
      <c r="HJ27" t="e">
        <f>AND(AprendizajeColaborativo!G18,"AAAAADv/z9k=")</f>
        <v>#VALUE!</v>
      </c>
      <c r="HK27">
        <f>IF(AprendizajeColaborativo!19:19,"AAAAADv/z9o=",0)</f>
        <v>0</v>
      </c>
      <c r="HL27" t="e">
        <f>AND(AprendizajeColaborativo!A19,"AAAAADv/z9s=")</f>
        <v>#VALUE!</v>
      </c>
      <c r="HM27" t="e">
        <f>AND(AprendizajeColaborativo!#REF!,"AAAAADv/z9w=")</f>
        <v>#REF!</v>
      </c>
      <c r="HN27" t="e">
        <f>AND(AprendizajeColaborativo!B19,"AAAAADv/z90=")</f>
        <v>#VALUE!</v>
      </c>
      <c r="HO27" t="e">
        <f>AND(AprendizajeColaborativo!C19,"AAAAADv/z94=")</f>
        <v>#VALUE!</v>
      </c>
      <c r="HP27" t="e">
        <f>AND(AprendizajeColaborativo!D19,"AAAAADv/z98=")</f>
        <v>#VALUE!</v>
      </c>
      <c r="HQ27" t="e">
        <f>AND(AprendizajeColaborativo!E19,"AAAAADv/z+A=")</f>
        <v>#VALUE!</v>
      </c>
      <c r="HR27" t="e">
        <f>AND(AprendizajeColaborativo!#REF!,"AAAAADv/z+E=")</f>
        <v>#REF!</v>
      </c>
      <c r="HS27" t="e">
        <f>AND(AprendizajeColaborativo!#REF!,"AAAAADv/z+I=")</f>
        <v>#REF!</v>
      </c>
      <c r="HT27" t="e">
        <f>AND(AprendizajeColaborativo!#REF!,"AAAAADv/z+M=")</f>
        <v>#REF!</v>
      </c>
      <c r="HU27" t="e">
        <f>AND(AprendizajeColaborativo!G19,"AAAAADv/z+Q=")</f>
        <v>#VALUE!</v>
      </c>
      <c r="HV27">
        <f>IF(AprendizajeColaborativo!20:20,"AAAAADv/z+U=",0)</f>
        <v>0</v>
      </c>
      <c r="HW27" t="e">
        <f>AND(AprendizajeColaborativo!A20,"AAAAADv/z+Y=")</f>
        <v>#VALUE!</v>
      </c>
      <c r="HX27" t="e">
        <f>AND(AprendizajeColaborativo!#REF!,"AAAAADv/z+c=")</f>
        <v>#REF!</v>
      </c>
      <c r="HY27" t="e">
        <f>AND(AprendizajeColaborativo!B20,"AAAAADv/z+g=")</f>
        <v>#VALUE!</v>
      </c>
      <c r="HZ27" t="e">
        <f>AND(AprendizajeColaborativo!C20,"AAAAADv/z+k=")</f>
        <v>#VALUE!</v>
      </c>
      <c r="IA27" t="e">
        <f>AND(AprendizajeColaborativo!D20,"AAAAADv/z+o=")</f>
        <v>#VALUE!</v>
      </c>
      <c r="IB27" t="e">
        <f>AND(AprendizajeColaborativo!E20,"AAAAADv/z+s=")</f>
        <v>#VALUE!</v>
      </c>
      <c r="IC27" t="e">
        <f>AND(AprendizajeColaborativo!#REF!,"AAAAADv/z+w=")</f>
        <v>#REF!</v>
      </c>
      <c r="ID27" t="e">
        <f>AND(AprendizajeColaborativo!#REF!,"AAAAADv/z+0=")</f>
        <v>#REF!</v>
      </c>
      <c r="IE27" t="e">
        <f>AND(AprendizajeColaborativo!#REF!,"AAAAADv/z+4=")</f>
        <v>#REF!</v>
      </c>
      <c r="IF27" t="e">
        <f>AND(AprendizajeColaborativo!G20,"AAAAADv/z+8=")</f>
        <v>#VALUE!</v>
      </c>
      <c r="IG27">
        <f>IF(AprendizajeColaborativo!21:21,"AAAAADv/z/A=",0)</f>
        <v>0</v>
      </c>
      <c r="IH27" t="e">
        <f>AND(AprendizajeColaborativo!A21,"AAAAADv/z/E=")</f>
        <v>#VALUE!</v>
      </c>
      <c r="II27" t="e">
        <f>AND(AprendizajeColaborativo!#REF!,"AAAAADv/z/I=")</f>
        <v>#REF!</v>
      </c>
      <c r="IJ27" t="e">
        <f>AND(AprendizajeColaborativo!B21,"AAAAADv/z/M=")</f>
        <v>#VALUE!</v>
      </c>
      <c r="IK27" t="e">
        <f>AND(AprendizajeColaborativo!C21,"AAAAADv/z/Q=")</f>
        <v>#VALUE!</v>
      </c>
      <c r="IL27" t="e">
        <f>AND(AprendizajeColaborativo!D21,"AAAAADv/z/U=")</f>
        <v>#VALUE!</v>
      </c>
      <c r="IM27" t="e">
        <f>AND(AprendizajeColaborativo!E21,"AAAAADv/z/Y=")</f>
        <v>#VALUE!</v>
      </c>
      <c r="IN27" t="e">
        <f>AND(AprendizajeColaborativo!#REF!,"AAAAADv/z/c=")</f>
        <v>#REF!</v>
      </c>
      <c r="IO27" t="e">
        <f>AND(AprendizajeColaborativo!#REF!,"AAAAADv/z/g=")</f>
        <v>#REF!</v>
      </c>
      <c r="IP27" t="e">
        <f>AND(AprendizajeColaborativo!#REF!,"AAAAADv/z/k=")</f>
        <v>#REF!</v>
      </c>
      <c r="IQ27" t="e">
        <f>AND(AprendizajeColaborativo!G21,"AAAAADv/z/o=")</f>
        <v>#VALUE!</v>
      </c>
      <c r="IR27" t="e">
        <f>IF(AprendizajeColaborativo!A:A,"AAAAADv/z/s=",0)</f>
        <v>#VALUE!</v>
      </c>
      <c r="IS27" t="e">
        <f>IF(AprendizajeColaborativo!#REF!,"AAAAADv/z/w=",0)</f>
        <v>#REF!</v>
      </c>
      <c r="IT27" t="str">
        <f ca="1">IF(AprendizajeColaborativo!B:B,"AAAAADv/z/0=",0)</f>
        <v>AAAAADv/z/0=</v>
      </c>
      <c r="IU27" t="str">
        <f ca="1">IF(AprendizajeColaborativo!C:C,"AAAAADv/z/4=",0)</f>
        <v>AAAAADv/z/4=</v>
      </c>
      <c r="IV27" t="str">
        <f ca="1">IF(AprendizajeColaborativo!D:D,"AAAAADv/z/8=",0)</f>
        <v>AAAAADv/z/8=</v>
      </c>
    </row>
    <row r="28" spans="1:256" x14ac:dyDescent="0.2">
      <c r="A28">
        <f>IF(AprendizajeColaborativo!E:E,"AAAAAF9z/gA=",0)</f>
        <v>0</v>
      </c>
      <c r="B28" t="e">
        <f>IF(AprendizajeColaborativo!#REF!,"AAAAAF9z/gE=",0)</f>
        <v>#REF!</v>
      </c>
      <c r="C28" t="e">
        <f>IF(AprendizajeColaborativo!#REF!,"AAAAAF9z/gI=",0)</f>
        <v>#REF!</v>
      </c>
      <c r="D28" t="e">
        <f>IF(AprendizajeColaborativo!#REF!,"AAAAAF9z/gM=",0)</f>
        <v>#REF!</v>
      </c>
      <c r="E28">
        <f>IF(AprendizajeColaborativo!G:G,"AAAAAF9z/gQ=",0)</f>
        <v>0</v>
      </c>
      <c r="F28" t="e">
        <f>IF(AprendizajeColaborativo_P1!#REF!,"AAAAAF9z/gU=",0)</f>
        <v>#REF!</v>
      </c>
      <c r="G28" t="e">
        <f>AND(AprendizajeColaborativo_P1!#REF!,"AAAAAF9z/gY=")</f>
        <v>#REF!</v>
      </c>
      <c r="H28" t="e">
        <f>AND(AprendizajeColaborativo_P1!#REF!,"AAAAAF9z/gc=")</f>
        <v>#REF!</v>
      </c>
      <c r="I28" t="e">
        <f>AND(AprendizajeColaborativo_P1!#REF!,"AAAAAF9z/gg=")</f>
        <v>#REF!</v>
      </c>
      <c r="J28" t="e">
        <f>AND(AprendizajeColaborativo_P1!#REF!,"AAAAAF9z/gk=")</f>
        <v>#REF!</v>
      </c>
      <c r="K28" t="e">
        <f>AND(AprendizajeColaborativo_P1!#REF!,"AAAAAF9z/go=")</f>
        <v>#REF!</v>
      </c>
      <c r="L28" t="e">
        <f>AND(AprendizajeColaborativo_P1!#REF!,"AAAAAF9z/gs=")</f>
        <v>#REF!</v>
      </c>
      <c r="M28" t="e">
        <f>AND(AprendizajeColaborativo_P1!#REF!,"AAAAAF9z/gw=")</f>
        <v>#REF!</v>
      </c>
      <c r="N28" t="e">
        <f>AND(AprendizajeColaborativo_P1!#REF!,"AAAAAF9z/g0=")</f>
        <v>#REF!</v>
      </c>
      <c r="O28" t="e">
        <f>AND(AprendizajeColaborativo_P1!#REF!,"AAAAAF9z/g4=")</f>
        <v>#REF!</v>
      </c>
      <c r="P28" t="e">
        <f>AND(AprendizajeColaborativo_P1!#REF!,"AAAAAF9z/g8=")</f>
        <v>#REF!</v>
      </c>
      <c r="Q28" t="e">
        <f>AND(AprendizajeColaborativo_P1!#REF!,"AAAAAF9z/hA=")</f>
        <v>#REF!</v>
      </c>
      <c r="R28" t="e">
        <f>AND(AprendizajeColaborativo_P1!#REF!,"AAAAAF9z/hE=")</f>
        <v>#REF!</v>
      </c>
      <c r="S28" t="e">
        <f>AND(AprendizajeColaborativo_P1!#REF!,"AAAAAF9z/hI=")</f>
        <v>#REF!</v>
      </c>
      <c r="T28" t="e">
        <f>IF(AprendizajeColaborativo_P1!#REF!,"AAAAAF9z/hM=",0)</f>
        <v>#REF!</v>
      </c>
      <c r="U28" t="e">
        <f>AND(AprendizajeColaborativo_P1!#REF!,"AAAAAF9z/hQ=")</f>
        <v>#REF!</v>
      </c>
      <c r="V28" t="e">
        <f>AND(AprendizajeColaborativo_P1!#REF!,"AAAAAF9z/hU=")</f>
        <v>#REF!</v>
      </c>
      <c r="W28" t="e">
        <f>AND(AprendizajeColaborativo_P1!#REF!,"AAAAAF9z/hY=")</f>
        <v>#REF!</v>
      </c>
      <c r="X28" t="e">
        <f>AND(AprendizajeColaborativo_P1!#REF!,"AAAAAF9z/hc=")</f>
        <v>#REF!</v>
      </c>
      <c r="Y28" t="e">
        <f>AND(AprendizajeColaborativo_P1!#REF!,"AAAAAF9z/hg=")</f>
        <v>#REF!</v>
      </c>
      <c r="Z28" t="e">
        <f>AND(AprendizajeColaborativo_P1!#REF!,"AAAAAF9z/hk=")</f>
        <v>#REF!</v>
      </c>
      <c r="AA28" t="e">
        <f>AND(AprendizajeColaborativo_P1!#REF!,"AAAAAF9z/ho=")</f>
        <v>#REF!</v>
      </c>
      <c r="AB28" t="e">
        <f>AND(AprendizajeColaborativo_P1!#REF!,"AAAAAF9z/hs=")</f>
        <v>#REF!</v>
      </c>
      <c r="AC28" t="e">
        <f>AND(AprendizajeColaborativo_P1!#REF!,"AAAAAF9z/hw=")</f>
        <v>#REF!</v>
      </c>
      <c r="AD28" t="e">
        <f>AND(AprendizajeColaborativo_P1!#REF!,"AAAAAF9z/h0=")</f>
        <v>#REF!</v>
      </c>
      <c r="AE28" t="e">
        <f>AND(AprendizajeColaborativo_P1!#REF!,"AAAAAF9z/h4=")</f>
        <v>#REF!</v>
      </c>
      <c r="AF28" t="e">
        <f>AND(AprendizajeColaborativo_P1!#REF!,"AAAAAF9z/h8=")</f>
        <v>#REF!</v>
      </c>
      <c r="AG28" t="e">
        <f>AND(AprendizajeColaborativo_P1!#REF!,"AAAAAF9z/iA=")</f>
        <v>#REF!</v>
      </c>
      <c r="AH28" t="e">
        <f>IF(AprendizajeColaborativo_P1!#REF!,"AAAAAF9z/iE=",0)</f>
        <v>#REF!</v>
      </c>
      <c r="AI28" t="e">
        <f>AND(AprendizajeColaborativo_P1!#REF!,"AAAAAF9z/iI=")</f>
        <v>#REF!</v>
      </c>
      <c r="AJ28" t="e">
        <f>AND(AprendizajeColaborativo_P1!#REF!,"AAAAAF9z/iM=")</f>
        <v>#REF!</v>
      </c>
      <c r="AK28" t="e">
        <f>AND(AprendizajeColaborativo_P1!#REF!,"AAAAAF9z/iQ=")</f>
        <v>#REF!</v>
      </c>
      <c r="AL28" t="e">
        <f>AND(AprendizajeColaborativo_P1!#REF!,"AAAAAF9z/iU=")</f>
        <v>#REF!</v>
      </c>
      <c r="AM28" t="e">
        <f>AND(AprendizajeColaborativo_P1!#REF!,"AAAAAF9z/iY=")</f>
        <v>#REF!</v>
      </c>
      <c r="AN28" t="e">
        <f>AND(AprendizajeColaborativo_P1!#REF!,"AAAAAF9z/ic=")</f>
        <v>#REF!</v>
      </c>
      <c r="AO28" t="e">
        <f>AND(AprendizajeColaborativo_P1!#REF!,"AAAAAF9z/ig=")</f>
        <v>#REF!</v>
      </c>
      <c r="AP28" t="e">
        <f>AND(AprendizajeColaborativo_P1!#REF!,"AAAAAF9z/ik=")</f>
        <v>#REF!</v>
      </c>
      <c r="AQ28" t="e">
        <f>AND(AprendizajeColaborativo_P1!#REF!,"AAAAAF9z/io=")</f>
        <v>#REF!</v>
      </c>
      <c r="AR28" t="e">
        <f>AND(AprendizajeColaborativo_P1!#REF!,"AAAAAF9z/is=")</f>
        <v>#REF!</v>
      </c>
      <c r="AS28" t="e">
        <f>AND(AprendizajeColaborativo_P1!#REF!,"AAAAAF9z/iw=")</f>
        <v>#REF!</v>
      </c>
      <c r="AT28" t="e">
        <f>AND(AprendizajeColaborativo_P1!#REF!,"AAAAAF9z/i0=")</f>
        <v>#REF!</v>
      </c>
      <c r="AU28" t="e">
        <f>AND(AprendizajeColaborativo_P1!#REF!,"AAAAAF9z/i4=")</f>
        <v>#REF!</v>
      </c>
      <c r="AV28" t="e">
        <f>IF(AprendizajeColaborativo_P1!#REF!,"AAAAAF9z/i8=",0)</f>
        <v>#REF!</v>
      </c>
      <c r="AW28" t="e">
        <f>AND(AprendizajeColaborativo_P1!#REF!,"AAAAAF9z/jA=")</f>
        <v>#REF!</v>
      </c>
      <c r="AX28" t="e">
        <f>AND(AprendizajeColaborativo_P1!#REF!,"AAAAAF9z/jE=")</f>
        <v>#REF!</v>
      </c>
      <c r="AY28" t="e">
        <f>AND(AprendizajeColaborativo_P1!#REF!,"AAAAAF9z/jI=")</f>
        <v>#REF!</v>
      </c>
      <c r="AZ28" t="e">
        <f>AND(AprendizajeColaborativo_P1!#REF!,"AAAAAF9z/jM=")</f>
        <v>#REF!</v>
      </c>
      <c r="BA28" t="e">
        <f>AND(AprendizajeColaborativo_P1!#REF!,"AAAAAF9z/jQ=")</f>
        <v>#REF!</v>
      </c>
      <c r="BB28" t="e">
        <f>AND(AprendizajeColaborativo_P1!#REF!,"AAAAAF9z/jU=")</f>
        <v>#REF!</v>
      </c>
      <c r="BC28" t="e">
        <f>AND(AprendizajeColaborativo_P1!#REF!,"AAAAAF9z/jY=")</f>
        <v>#REF!</v>
      </c>
      <c r="BD28" t="e">
        <f>AND(AprendizajeColaborativo_P1!#REF!,"AAAAAF9z/jc=")</f>
        <v>#REF!</v>
      </c>
      <c r="BE28" t="e">
        <f>AND(AprendizajeColaborativo_P1!#REF!,"AAAAAF9z/jg=")</f>
        <v>#REF!</v>
      </c>
      <c r="BF28" t="e">
        <f>AND(AprendizajeColaborativo_P1!#REF!,"AAAAAF9z/jk=")</f>
        <v>#REF!</v>
      </c>
      <c r="BG28" t="e">
        <f>AND(AprendizajeColaborativo_P1!#REF!,"AAAAAF9z/jo=")</f>
        <v>#REF!</v>
      </c>
      <c r="BH28" t="e">
        <f>AND(AprendizajeColaborativo_P1!#REF!,"AAAAAF9z/js=")</f>
        <v>#REF!</v>
      </c>
      <c r="BI28" t="e">
        <f>AND(AprendizajeColaborativo_P1!#REF!,"AAAAAF9z/jw=")</f>
        <v>#REF!</v>
      </c>
      <c r="BJ28" t="e">
        <f>IF(AprendizajeColaborativo_P1!#REF!,"AAAAAF9z/j0=",0)</f>
        <v>#REF!</v>
      </c>
      <c r="BK28" t="e">
        <f>AND(AprendizajeColaborativo_P1!#REF!,"AAAAAF9z/j4=")</f>
        <v>#REF!</v>
      </c>
      <c r="BL28" t="e">
        <f>AND(AprendizajeColaborativo_P1!#REF!,"AAAAAF9z/j8=")</f>
        <v>#REF!</v>
      </c>
      <c r="BM28" t="e">
        <f>AND(AprendizajeColaborativo_P1!#REF!,"AAAAAF9z/kA=")</f>
        <v>#REF!</v>
      </c>
      <c r="BN28" t="e">
        <f>AND(AprendizajeColaborativo_P1!#REF!,"AAAAAF9z/kE=")</f>
        <v>#REF!</v>
      </c>
      <c r="BO28" t="e">
        <f>AND(AprendizajeColaborativo_P1!#REF!,"AAAAAF9z/kI=")</f>
        <v>#REF!</v>
      </c>
      <c r="BP28" t="e">
        <f>AND(AprendizajeColaborativo_P1!#REF!,"AAAAAF9z/kM=")</f>
        <v>#REF!</v>
      </c>
      <c r="BQ28" t="e">
        <f>AND(AprendizajeColaborativo_P1!#REF!,"AAAAAF9z/kQ=")</f>
        <v>#REF!</v>
      </c>
      <c r="BR28" t="e">
        <f>AND(AprendizajeColaborativo_P1!#REF!,"AAAAAF9z/kU=")</f>
        <v>#REF!</v>
      </c>
      <c r="BS28" t="e">
        <f>AND(AprendizajeColaborativo_P1!#REF!,"AAAAAF9z/kY=")</f>
        <v>#REF!</v>
      </c>
      <c r="BT28" t="e">
        <f>AND(AprendizajeColaborativo_P1!#REF!,"AAAAAF9z/kc=")</f>
        <v>#REF!</v>
      </c>
      <c r="BU28" t="e">
        <f>AND(AprendizajeColaborativo_P1!#REF!,"AAAAAF9z/kg=")</f>
        <v>#REF!</v>
      </c>
      <c r="BV28" t="e">
        <f>AND(AprendizajeColaborativo_P1!#REF!,"AAAAAF9z/kk=")</f>
        <v>#REF!</v>
      </c>
      <c r="BW28" t="e">
        <f>AND(AprendizajeColaborativo_P1!#REF!,"AAAAAF9z/ko=")</f>
        <v>#REF!</v>
      </c>
      <c r="BX28">
        <f>IF(AprendizajeColaborativo_P1!1:1,"AAAAAF9z/ks=",0)</f>
        <v>0</v>
      </c>
      <c r="BY28" t="e">
        <f>AND(AprendizajeColaborativo_P1!A1,"AAAAAF9z/kw=")</f>
        <v>#VALUE!</v>
      </c>
      <c r="BZ28" t="e">
        <f>AND(AprendizajeColaborativo_P1!#REF!,"AAAAAF9z/k0=")</f>
        <v>#REF!</v>
      </c>
      <c r="CA28" t="e">
        <f>AND(AprendizajeColaborativo_P1!B1,"AAAAAF9z/k4=")</f>
        <v>#VALUE!</v>
      </c>
      <c r="CB28" t="e">
        <f>AND(AprendizajeColaborativo_P1!C1,"AAAAAF9z/k8=")</f>
        <v>#VALUE!</v>
      </c>
      <c r="CC28" t="e">
        <f>AND(AprendizajeColaborativo_P1!D1,"AAAAAF9z/lA=")</f>
        <v>#VALUE!</v>
      </c>
      <c r="CD28" t="e">
        <f>AND(AprendizajeColaborativo_P1!E1,"AAAAAF9z/lE=")</f>
        <v>#VALUE!</v>
      </c>
      <c r="CE28" t="e">
        <f>AND(AprendizajeColaborativo_P1!F1,"AAAAAF9z/lI=")</f>
        <v>#VALUE!</v>
      </c>
      <c r="CF28" t="e">
        <f>AND(AprendizajeColaborativo_P1!G1,"AAAAAF9z/lM=")</f>
        <v>#VALUE!</v>
      </c>
      <c r="CG28" t="e">
        <f>AND(AprendizajeColaborativo_P1!H1,"AAAAAF9z/lQ=")</f>
        <v>#VALUE!</v>
      </c>
      <c r="CH28" t="e">
        <f>AND(AprendizajeColaborativo_P1!#REF!,"AAAAAF9z/lU=")</f>
        <v>#REF!</v>
      </c>
      <c r="CI28" t="e">
        <f>AND(AprendizajeColaborativo_P1!I1,"AAAAAF9z/lY=")</f>
        <v>#VALUE!</v>
      </c>
      <c r="CJ28" t="e">
        <f>AND(AprendizajeColaborativo_P1!J1,"AAAAAF9z/lc=")</f>
        <v>#VALUE!</v>
      </c>
      <c r="CK28" t="e">
        <f>AND(AprendizajeColaborativo_P1!K1,"AAAAAF9z/lg=")</f>
        <v>#VALUE!</v>
      </c>
      <c r="CL28">
        <f>IF(AprendizajeColaborativo_P1!2:2,"AAAAAF9z/lk=",0)</f>
        <v>0</v>
      </c>
      <c r="CM28" t="e">
        <f>AND(AprendizajeColaborativo_P1!A2,"AAAAAF9z/lo=")</f>
        <v>#VALUE!</v>
      </c>
      <c r="CN28" t="e">
        <f>AND(AprendizajeColaborativo_P1!#REF!,"AAAAAF9z/ls=")</f>
        <v>#REF!</v>
      </c>
      <c r="CO28" t="e">
        <f>AND(AprendizajeColaborativo_P1!B2,"AAAAAF9z/lw=")</f>
        <v>#VALUE!</v>
      </c>
      <c r="CP28" t="e">
        <f>AND(AprendizajeColaborativo_P1!C2,"AAAAAF9z/l0=")</f>
        <v>#VALUE!</v>
      </c>
      <c r="CQ28" t="e">
        <f>AND(AprendizajeColaborativo_P1!D2,"AAAAAF9z/l4=")</f>
        <v>#VALUE!</v>
      </c>
      <c r="CR28" t="e">
        <f>AND(AprendizajeColaborativo_P1!E2,"AAAAAF9z/l8=")</f>
        <v>#VALUE!</v>
      </c>
      <c r="CS28" t="e">
        <f>AND(AprendizajeColaborativo_P1!F2,"AAAAAF9z/mA=")</f>
        <v>#VALUE!</v>
      </c>
      <c r="CT28" t="e">
        <f>AND(AprendizajeColaborativo_P1!G2,"AAAAAF9z/mE=")</f>
        <v>#VALUE!</v>
      </c>
      <c r="CU28" t="e">
        <f>AND(AprendizajeColaborativo_P1!H2,"AAAAAF9z/mI=")</f>
        <v>#VALUE!</v>
      </c>
      <c r="CV28" t="e">
        <f>AND(AprendizajeColaborativo_P1!#REF!,"AAAAAF9z/mM=")</f>
        <v>#REF!</v>
      </c>
      <c r="CW28" t="e">
        <f>AND(AprendizajeColaborativo_P1!I2,"AAAAAF9z/mQ=")</f>
        <v>#VALUE!</v>
      </c>
      <c r="CX28" t="e">
        <f>AND(AprendizajeColaborativo_P1!J2,"AAAAAF9z/mU=")</f>
        <v>#VALUE!</v>
      </c>
      <c r="CY28" t="e">
        <f>AND(AprendizajeColaborativo_P1!K2,"AAAAAF9z/mY=")</f>
        <v>#VALUE!</v>
      </c>
      <c r="CZ28">
        <f>IF(AprendizajeColaborativo_P1!3:3,"AAAAAF9z/mc=",0)</f>
        <v>0</v>
      </c>
      <c r="DA28" t="e">
        <f>AND(AprendizajeColaborativo_P1!A3,"AAAAAF9z/mg=")</f>
        <v>#VALUE!</v>
      </c>
      <c r="DB28" t="e">
        <f>AND(AprendizajeColaborativo_P1!#REF!,"AAAAAF9z/mk=")</f>
        <v>#REF!</v>
      </c>
      <c r="DC28" t="e">
        <f>AND(AprendizajeColaborativo_P1!B3,"AAAAAF9z/mo=")</f>
        <v>#VALUE!</v>
      </c>
      <c r="DD28" t="e">
        <f>AND(AprendizajeColaborativo_P1!C3,"AAAAAF9z/ms=")</f>
        <v>#VALUE!</v>
      </c>
      <c r="DE28" t="e">
        <f>AND(AprendizajeColaborativo_P1!D3,"AAAAAF9z/mw=")</f>
        <v>#VALUE!</v>
      </c>
      <c r="DF28" t="e">
        <f>AND(AprendizajeColaborativo_P1!E3,"AAAAAF9z/m0=")</f>
        <v>#VALUE!</v>
      </c>
      <c r="DG28" t="e">
        <f>AND(AprendizajeColaborativo_P1!F3,"AAAAAF9z/m4=")</f>
        <v>#VALUE!</v>
      </c>
      <c r="DH28" t="e">
        <f>AND(AprendizajeColaborativo_P1!G3,"AAAAAF9z/m8=")</f>
        <v>#VALUE!</v>
      </c>
      <c r="DI28" t="e">
        <f>AND(AprendizajeColaborativo_P1!H3,"AAAAAF9z/nA=")</f>
        <v>#VALUE!</v>
      </c>
      <c r="DJ28" t="e">
        <f>AND(AprendizajeColaborativo_P1!#REF!,"AAAAAF9z/nE=")</f>
        <v>#REF!</v>
      </c>
      <c r="DK28" t="e">
        <f>AND(AprendizajeColaborativo_P1!I3,"AAAAAF9z/nI=")</f>
        <v>#VALUE!</v>
      </c>
      <c r="DL28" t="e">
        <f>AND(AprendizajeColaborativo_P1!J3,"AAAAAF9z/nM=")</f>
        <v>#VALUE!</v>
      </c>
      <c r="DM28" t="e">
        <f>AND(AprendizajeColaborativo_P1!K3,"AAAAAF9z/nQ=")</f>
        <v>#VALUE!</v>
      </c>
      <c r="DN28">
        <f>IF(AprendizajeColaborativo_P1!4:4,"AAAAAF9z/nU=",0)</f>
        <v>0</v>
      </c>
      <c r="DO28" t="e">
        <f>AND(AprendizajeColaborativo_P1!A4,"AAAAAF9z/nY=")</f>
        <v>#VALUE!</v>
      </c>
      <c r="DP28" t="e">
        <f>AND(AprendizajeColaborativo_P1!#REF!,"AAAAAF9z/nc=")</f>
        <v>#REF!</v>
      </c>
      <c r="DQ28" t="e">
        <f>AND(AprendizajeColaborativo_P1!B4,"AAAAAF9z/ng=")</f>
        <v>#VALUE!</v>
      </c>
      <c r="DR28" t="e">
        <f>AND(AprendizajeColaborativo_P1!C4,"AAAAAF9z/nk=")</f>
        <v>#VALUE!</v>
      </c>
      <c r="DS28" t="e">
        <f>AND(AprendizajeColaborativo_P1!D4,"AAAAAF9z/no=")</f>
        <v>#VALUE!</v>
      </c>
      <c r="DT28" t="e">
        <f>AND(AprendizajeColaborativo_P1!E4,"AAAAAF9z/ns=")</f>
        <v>#VALUE!</v>
      </c>
      <c r="DU28" t="e">
        <f>AND(AprendizajeColaborativo_P1!F4,"AAAAAF9z/nw=")</f>
        <v>#VALUE!</v>
      </c>
      <c r="DV28" t="e">
        <f>AND(AprendizajeColaborativo_P1!G4,"AAAAAF9z/n0=")</f>
        <v>#VALUE!</v>
      </c>
      <c r="DW28" t="e">
        <f>AND(AprendizajeColaborativo_P1!H4,"AAAAAF9z/n4=")</f>
        <v>#VALUE!</v>
      </c>
      <c r="DX28" t="e">
        <f>AND(AprendizajeColaborativo_P1!#REF!,"AAAAAF9z/n8=")</f>
        <v>#REF!</v>
      </c>
      <c r="DY28" t="e">
        <f>AND(AprendizajeColaborativo_P1!I4,"AAAAAF9z/oA=")</f>
        <v>#VALUE!</v>
      </c>
      <c r="DZ28" t="e">
        <f>AND(AprendizajeColaborativo_P1!J4,"AAAAAF9z/oE=")</f>
        <v>#VALUE!</v>
      </c>
      <c r="EA28" t="e">
        <f>AND(AprendizajeColaborativo_P1!K4,"AAAAAF9z/oI=")</f>
        <v>#VALUE!</v>
      </c>
      <c r="EB28">
        <f>IF(AprendizajeColaborativo_P1!5:5,"AAAAAF9z/oM=",0)</f>
        <v>0</v>
      </c>
      <c r="EC28" t="e">
        <f>AND(AprendizajeColaborativo_P1!A5,"AAAAAF9z/oQ=")</f>
        <v>#VALUE!</v>
      </c>
      <c r="ED28" t="e">
        <f>AND(AprendizajeColaborativo_P1!#REF!,"AAAAAF9z/oU=")</f>
        <v>#REF!</v>
      </c>
      <c r="EE28" t="e">
        <f>AND(AprendizajeColaborativo_P1!B5,"AAAAAF9z/oY=")</f>
        <v>#VALUE!</v>
      </c>
      <c r="EF28" t="e">
        <f>AND(AprendizajeColaborativo_P1!C5,"AAAAAF9z/oc=")</f>
        <v>#VALUE!</v>
      </c>
      <c r="EG28" t="e">
        <f>AND(AprendizajeColaborativo_P1!D5,"AAAAAF9z/og=")</f>
        <v>#VALUE!</v>
      </c>
      <c r="EH28" t="e">
        <f>AND(AprendizajeColaborativo_P1!E5,"AAAAAF9z/ok=")</f>
        <v>#VALUE!</v>
      </c>
      <c r="EI28" t="e">
        <f>AND(AprendizajeColaborativo_P1!F5,"AAAAAF9z/oo=")</f>
        <v>#VALUE!</v>
      </c>
      <c r="EJ28" t="e">
        <f>AND(AprendizajeColaborativo_P1!G5,"AAAAAF9z/os=")</f>
        <v>#VALUE!</v>
      </c>
      <c r="EK28" t="e">
        <f>AND(AprendizajeColaborativo_P1!H5,"AAAAAF9z/ow=")</f>
        <v>#VALUE!</v>
      </c>
      <c r="EL28" t="e">
        <f>AND(AprendizajeColaborativo_P1!#REF!,"AAAAAF9z/o0=")</f>
        <v>#REF!</v>
      </c>
      <c r="EM28" t="e">
        <f>AND(AprendizajeColaborativo_P1!I5,"AAAAAF9z/o4=")</f>
        <v>#VALUE!</v>
      </c>
      <c r="EN28" t="e">
        <f>AND(AprendizajeColaborativo_P1!J5,"AAAAAF9z/o8=")</f>
        <v>#VALUE!</v>
      </c>
      <c r="EO28" t="e">
        <f>AND(AprendizajeColaborativo_P1!K5,"AAAAAF9z/pA=")</f>
        <v>#VALUE!</v>
      </c>
      <c r="EP28">
        <f>IF(AprendizajeColaborativo_P1!6:6,"AAAAAF9z/pE=",0)</f>
        <v>0</v>
      </c>
      <c r="EQ28" t="e">
        <f>AND(AprendizajeColaborativo_P1!A6,"AAAAAF9z/pI=")</f>
        <v>#VALUE!</v>
      </c>
      <c r="ER28" t="e">
        <f>AND(AprendizajeColaborativo_P1!#REF!,"AAAAAF9z/pM=")</f>
        <v>#REF!</v>
      </c>
      <c r="ES28" t="e">
        <f>AND(AprendizajeColaborativo_P1!B6,"AAAAAF9z/pQ=")</f>
        <v>#VALUE!</v>
      </c>
      <c r="ET28" t="e">
        <f>AND(AprendizajeColaborativo_P1!C6,"AAAAAF9z/pU=")</f>
        <v>#VALUE!</v>
      </c>
      <c r="EU28" t="e">
        <f>AND(AprendizajeColaborativo_P1!D6,"AAAAAF9z/pY=")</f>
        <v>#VALUE!</v>
      </c>
      <c r="EV28" t="e">
        <f>AND(AprendizajeColaborativo_P1!E6,"AAAAAF9z/pc=")</f>
        <v>#VALUE!</v>
      </c>
      <c r="EW28" t="e">
        <f>AND(AprendizajeColaborativo_P1!F6,"AAAAAF9z/pg=")</f>
        <v>#VALUE!</v>
      </c>
      <c r="EX28" t="e">
        <f>AND(AprendizajeColaborativo_P1!G6,"AAAAAF9z/pk=")</f>
        <v>#VALUE!</v>
      </c>
      <c r="EY28" t="e">
        <f>AND(AprendizajeColaborativo_P1!H6,"AAAAAF9z/po=")</f>
        <v>#VALUE!</v>
      </c>
      <c r="EZ28" t="e">
        <f>AND(AprendizajeColaborativo_P1!#REF!,"AAAAAF9z/ps=")</f>
        <v>#REF!</v>
      </c>
      <c r="FA28" t="e">
        <f>AND(AprendizajeColaborativo_P1!I6,"AAAAAF9z/pw=")</f>
        <v>#VALUE!</v>
      </c>
      <c r="FB28" t="e">
        <f>AND(AprendizajeColaborativo_P1!J6,"AAAAAF9z/p0=")</f>
        <v>#VALUE!</v>
      </c>
      <c r="FC28" t="e">
        <f>AND(AprendizajeColaborativo_P1!K6,"AAAAAF9z/p4=")</f>
        <v>#VALUE!</v>
      </c>
      <c r="FD28">
        <f>IF(AprendizajeColaborativo_P1!7:7,"AAAAAF9z/p8=",0)</f>
        <v>0</v>
      </c>
      <c r="FE28" t="e">
        <f>AND(AprendizajeColaborativo_P1!A7,"AAAAAF9z/qA=")</f>
        <v>#VALUE!</v>
      </c>
      <c r="FF28" t="e">
        <f>AND(AprendizajeColaborativo_P1!#REF!,"AAAAAF9z/qE=")</f>
        <v>#REF!</v>
      </c>
      <c r="FG28" t="e">
        <f>AND(AprendizajeColaborativo_P1!B7,"AAAAAF9z/qI=")</f>
        <v>#VALUE!</v>
      </c>
      <c r="FH28" t="e">
        <f>AND(AprendizajeColaborativo_P1!C7,"AAAAAF9z/qM=")</f>
        <v>#VALUE!</v>
      </c>
      <c r="FI28" t="e">
        <f>AND(AprendizajeColaborativo_P1!D7,"AAAAAF9z/qQ=")</f>
        <v>#VALUE!</v>
      </c>
      <c r="FJ28" t="e">
        <f>AND(AprendizajeColaborativo_P1!E7,"AAAAAF9z/qU=")</f>
        <v>#VALUE!</v>
      </c>
      <c r="FK28" t="e">
        <f>AND(AprendizajeColaborativo_P1!F7,"AAAAAF9z/qY=")</f>
        <v>#VALUE!</v>
      </c>
      <c r="FL28" t="e">
        <f>AND(AprendizajeColaborativo_P1!G7,"AAAAAF9z/qc=")</f>
        <v>#VALUE!</v>
      </c>
      <c r="FM28" t="e">
        <f>AND(AprendizajeColaborativo_P1!H7,"AAAAAF9z/qg=")</f>
        <v>#VALUE!</v>
      </c>
      <c r="FN28" t="e">
        <f>AND(AprendizajeColaborativo_P1!#REF!,"AAAAAF9z/qk=")</f>
        <v>#REF!</v>
      </c>
      <c r="FO28" t="e">
        <f>AND(AprendizajeColaborativo_P1!I7,"AAAAAF9z/qo=")</f>
        <v>#VALUE!</v>
      </c>
      <c r="FP28" t="e">
        <f>AND(AprendizajeColaborativo_P1!J7,"AAAAAF9z/qs=")</f>
        <v>#VALUE!</v>
      </c>
      <c r="FQ28" t="e">
        <f>AND(AprendizajeColaborativo_P1!K7,"AAAAAF9z/qw=")</f>
        <v>#VALUE!</v>
      </c>
      <c r="FR28">
        <f>IF(AprendizajeColaborativo_P1!8:8,"AAAAAF9z/q0=",0)</f>
        <v>0</v>
      </c>
      <c r="FS28" t="e">
        <f>AND(AprendizajeColaborativo_P1!A8,"AAAAAF9z/q4=")</f>
        <v>#VALUE!</v>
      </c>
      <c r="FT28" t="e">
        <f>AND(AprendizajeColaborativo_P1!#REF!,"AAAAAF9z/q8=")</f>
        <v>#REF!</v>
      </c>
      <c r="FU28" t="e">
        <f>AND(AprendizajeColaborativo_P1!B8,"AAAAAF9z/rA=")</f>
        <v>#VALUE!</v>
      </c>
      <c r="FV28" t="e">
        <f>AND(AprendizajeColaborativo_P1!C8,"AAAAAF9z/rE=")</f>
        <v>#VALUE!</v>
      </c>
      <c r="FW28" t="e">
        <f>AND(AprendizajeColaborativo_P1!D8,"AAAAAF9z/rI=")</f>
        <v>#VALUE!</v>
      </c>
      <c r="FX28" t="e">
        <f>AND(AprendizajeColaborativo_P1!E8,"AAAAAF9z/rM=")</f>
        <v>#VALUE!</v>
      </c>
      <c r="FY28" t="e">
        <f>AND(AprendizajeColaborativo_P1!F8,"AAAAAF9z/rQ=")</f>
        <v>#VALUE!</v>
      </c>
      <c r="FZ28" t="e">
        <f>AND(AprendizajeColaborativo_P1!G8,"AAAAAF9z/rU=")</f>
        <v>#VALUE!</v>
      </c>
      <c r="GA28" t="e">
        <f>AND(AprendizajeColaborativo_P1!H8,"AAAAAF9z/rY=")</f>
        <v>#VALUE!</v>
      </c>
      <c r="GB28" t="e">
        <f>AND(AprendizajeColaborativo_P1!#REF!,"AAAAAF9z/rc=")</f>
        <v>#REF!</v>
      </c>
      <c r="GC28" t="e">
        <f>AND(AprendizajeColaborativo_P1!I8,"AAAAAF9z/rg=")</f>
        <v>#VALUE!</v>
      </c>
      <c r="GD28" t="e">
        <f>AND(AprendizajeColaborativo_P1!J8,"AAAAAF9z/rk=")</f>
        <v>#VALUE!</v>
      </c>
      <c r="GE28" t="e">
        <f>AND(AprendizajeColaborativo_P1!K8,"AAAAAF9z/ro=")</f>
        <v>#VALUE!</v>
      </c>
      <c r="GF28">
        <f>IF(AprendizajeColaborativo_P1!9:9,"AAAAAF9z/rs=",0)</f>
        <v>0</v>
      </c>
      <c r="GG28" t="e">
        <f>AND(AprendizajeColaborativo_P1!A9,"AAAAAF9z/rw=")</f>
        <v>#VALUE!</v>
      </c>
      <c r="GH28" t="e">
        <f>AND(AprendizajeColaborativo_P1!#REF!,"AAAAAF9z/r0=")</f>
        <v>#REF!</v>
      </c>
      <c r="GI28" t="e">
        <f>AND(AprendizajeColaborativo_P1!B9,"AAAAAF9z/r4=")</f>
        <v>#VALUE!</v>
      </c>
      <c r="GJ28" t="e">
        <f>AND(AprendizajeColaborativo_P1!C9,"AAAAAF9z/r8=")</f>
        <v>#VALUE!</v>
      </c>
      <c r="GK28" t="e">
        <f>AND(AprendizajeColaborativo_P1!D9,"AAAAAF9z/sA=")</f>
        <v>#VALUE!</v>
      </c>
      <c r="GL28" t="e">
        <f>AND(AprendizajeColaborativo_P1!E9,"AAAAAF9z/sE=")</f>
        <v>#VALUE!</v>
      </c>
      <c r="GM28" t="e">
        <f>AND(AprendizajeColaborativo_P1!F9,"AAAAAF9z/sI=")</f>
        <v>#VALUE!</v>
      </c>
      <c r="GN28" t="e">
        <f>AND(AprendizajeColaborativo_P1!G9,"AAAAAF9z/sM=")</f>
        <v>#VALUE!</v>
      </c>
      <c r="GO28" t="e">
        <f>AND(AprendizajeColaborativo_P1!H9,"AAAAAF9z/sQ=")</f>
        <v>#VALUE!</v>
      </c>
      <c r="GP28" t="e">
        <f>AND(AprendizajeColaborativo_P1!#REF!,"AAAAAF9z/sU=")</f>
        <v>#REF!</v>
      </c>
      <c r="GQ28" t="e">
        <f>AND(AprendizajeColaborativo_P1!I9,"AAAAAF9z/sY=")</f>
        <v>#VALUE!</v>
      </c>
      <c r="GR28" t="e">
        <f>AND(AprendizajeColaborativo_P1!J9,"AAAAAF9z/sc=")</f>
        <v>#VALUE!</v>
      </c>
      <c r="GS28" t="e">
        <f>AND(AprendizajeColaborativo_P1!K9,"AAAAAF9z/sg=")</f>
        <v>#VALUE!</v>
      </c>
      <c r="GT28">
        <f>IF(AprendizajeColaborativo_P1!10:10,"AAAAAF9z/sk=",0)</f>
        <v>0</v>
      </c>
      <c r="GU28" t="e">
        <f>AND(AprendizajeColaborativo_P1!A10,"AAAAAF9z/so=")</f>
        <v>#VALUE!</v>
      </c>
      <c r="GV28" t="e">
        <f>AND(AprendizajeColaborativo_P1!#REF!,"AAAAAF9z/ss=")</f>
        <v>#REF!</v>
      </c>
      <c r="GW28" t="e">
        <f>AND(AprendizajeColaborativo_P1!B10,"AAAAAF9z/sw=")</f>
        <v>#VALUE!</v>
      </c>
      <c r="GX28" t="e">
        <f>AND(AprendizajeColaborativo_P1!C10,"AAAAAF9z/s0=")</f>
        <v>#VALUE!</v>
      </c>
      <c r="GY28" t="e">
        <f>AND(AprendizajeColaborativo_P1!D10,"AAAAAF9z/s4=")</f>
        <v>#VALUE!</v>
      </c>
      <c r="GZ28" t="e">
        <f>AND(AprendizajeColaborativo_P1!E10,"AAAAAF9z/s8=")</f>
        <v>#VALUE!</v>
      </c>
      <c r="HA28" t="e">
        <f>AND(AprendizajeColaborativo_P1!F10,"AAAAAF9z/tA=")</f>
        <v>#VALUE!</v>
      </c>
      <c r="HB28" t="e">
        <f>AND(AprendizajeColaborativo_P1!G10,"AAAAAF9z/tE=")</f>
        <v>#VALUE!</v>
      </c>
      <c r="HC28" t="e">
        <f>AND(AprendizajeColaborativo_P1!H10,"AAAAAF9z/tI=")</f>
        <v>#VALUE!</v>
      </c>
      <c r="HD28" t="e">
        <f>AND(AprendizajeColaborativo_P1!#REF!,"AAAAAF9z/tM=")</f>
        <v>#REF!</v>
      </c>
      <c r="HE28" t="e">
        <f>AND(AprendizajeColaborativo_P1!I10,"AAAAAF9z/tQ=")</f>
        <v>#VALUE!</v>
      </c>
      <c r="HF28" t="e">
        <f>AND(AprendizajeColaborativo_P1!J10,"AAAAAF9z/tU=")</f>
        <v>#VALUE!</v>
      </c>
      <c r="HG28" t="e">
        <f>AND(AprendizajeColaborativo_P1!K10,"AAAAAF9z/tY=")</f>
        <v>#VALUE!</v>
      </c>
      <c r="HH28">
        <f>IF(AprendizajeColaborativo_P1!11:11,"AAAAAF9z/tc=",0)</f>
        <v>0</v>
      </c>
      <c r="HI28" t="e">
        <f>AND(AprendizajeColaborativo_P1!A11,"AAAAAF9z/tg=")</f>
        <v>#VALUE!</v>
      </c>
      <c r="HJ28" t="e">
        <f>AND(AprendizajeColaborativo_P1!#REF!,"AAAAAF9z/tk=")</f>
        <v>#REF!</v>
      </c>
      <c r="HK28" t="e">
        <f>AND(AprendizajeColaborativo_P1!B11,"AAAAAF9z/to=")</f>
        <v>#VALUE!</v>
      </c>
      <c r="HL28" t="e">
        <f>AND(AprendizajeColaborativo_P1!C11,"AAAAAF9z/ts=")</f>
        <v>#VALUE!</v>
      </c>
      <c r="HM28" t="e">
        <f>AND(AprendizajeColaborativo_P1!D11,"AAAAAF9z/tw=")</f>
        <v>#VALUE!</v>
      </c>
      <c r="HN28" t="e">
        <f>AND(AprendizajeColaborativo_P1!E11,"AAAAAF9z/t0=")</f>
        <v>#VALUE!</v>
      </c>
      <c r="HO28" t="e">
        <f>AND(AprendizajeColaborativo_P1!F11,"AAAAAF9z/t4=")</f>
        <v>#VALUE!</v>
      </c>
      <c r="HP28" t="e">
        <f>AND(AprendizajeColaborativo_P1!G11,"AAAAAF9z/t8=")</f>
        <v>#VALUE!</v>
      </c>
      <c r="HQ28" t="e">
        <f>AND(AprendizajeColaborativo_P1!H11,"AAAAAF9z/uA=")</f>
        <v>#VALUE!</v>
      </c>
      <c r="HR28" t="e">
        <f>AND(AprendizajeColaborativo_P1!#REF!,"AAAAAF9z/uE=")</f>
        <v>#REF!</v>
      </c>
      <c r="HS28" t="e">
        <f>AND(AprendizajeColaborativo_P1!I11,"AAAAAF9z/uI=")</f>
        <v>#VALUE!</v>
      </c>
      <c r="HT28" t="e">
        <f>AND(AprendizajeColaborativo_P1!J11,"AAAAAF9z/uM=")</f>
        <v>#VALUE!</v>
      </c>
      <c r="HU28" t="e">
        <f>AND(AprendizajeColaborativo_P1!K11,"AAAAAF9z/uQ=")</f>
        <v>#VALUE!</v>
      </c>
      <c r="HV28">
        <f>IF(AprendizajeColaborativo_P1!12:12,"AAAAAF9z/uU=",0)</f>
        <v>0</v>
      </c>
      <c r="HW28" t="e">
        <f>AND(AprendizajeColaborativo_P1!A12,"AAAAAF9z/uY=")</f>
        <v>#VALUE!</v>
      </c>
      <c r="HX28" t="e">
        <f>AND(AprendizajeColaborativo_P1!#REF!,"AAAAAF9z/uc=")</f>
        <v>#REF!</v>
      </c>
      <c r="HY28" t="e">
        <f>AND(AprendizajeColaborativo_P1!B12,"AAAAAF9z/ug=")</f>
        <v>#VALUE!</v>
      </c>
      <c r="HZ28" t="e">
        <f>AND(AprendizajeColaborativo_P1!C12,"AAAAAF9z/uk=")</f>
        <v>#VALUE!</v>
      </c>
      <c r="IA28" t="e">
        <f>AND(AprendizajeColaborativo_P1!D12,"AAAAAF9z/uo=")</f>
        <v>#VALUE!</v>
      </c>
      <c r="IB28" t="e">
        <f>AND(AprendizajeColaborativo_P1!E12,"AAAAAF9z/us=")</f>
        <v>#VALUE!</v>
      </c>
      <c r="IC28" t="e">
        <f>AND(AprendizajeColaborativo_P1!F12,"AAAAAF9z/uw=")</f>
        <v>#VALUE!</v>
      </c>
      <c r="ID28" t="e">
        <f>AND(AprendizajeColaborativo_P1!G12,"AAAAAF9z/u0=")</f>
        <v>#VALUE!</v>
      </c>
      <c r="IE28" t="e">
        <f>AND(AprendizajeColaborativo_P1!H12,"AAAAAF9z/u4=")</f>
        <v>#VALUE!</v>
      </c>
      <c r="IF28" t="e">
        <f>AND(AprendizajeColaborativo_P1!#REF!,"AAAAAF9z/u8=")</f>
        <v>#REF!</v>
      </c>
      <c r="IG28" t="e">
        <f>AND(AprendizajeColaborativo_P1!I12,"AAAAAF9z/vA=")</f>
        <v>#VALUE!</v>
      </c>
      <c r="IH28" t="e">
        <f>AND(AprendizajeColaborativo_P1!J12,"AAAAAF9z/vE=")</f>
        <v>#VALUE!</v>
      </c>
      <c r="II28" t="e">
        <f>AND(AprendizajeColaborativo_P1!K12,"AAAAAF9z/vI=")</f>
        <v>#VALUE!</v>
      </c>
      <c r="IJ28">
        <f>IF(AprendizajeColaborativo_P1!13:13,"AAAAAF9z/vM=",0)</f>
        <v>0</v>
      </c>
      <c r="IK28" t="e">
        <f>AND(AprendizajeColaborativo_P1!A13,"AAAAAF9z/vQ=")</f>
        <v>#VALUE!</v>
      </c>
      <c r="IL28" t="e">
        <f>AND(AprendizajeColaborativo_P1!#REF!,"AAAAAF9z/vU=")</f>
        <v>#REF!</v>
      </c>
      <c r="IM28" t="e">
        <f>AND(AprendizajeColaborativo_P1!B13,"AAAAAF9z/vY=")</f>
        <v>#VALUE!</v>
      </c>
      <c r="IN28" t="e">
        <f>AND(AprendizajeColaborativo_P1!C13,"AAAAAF9z/vc=")</f>
        <v>#VALUE!</v>
      </c>
      <c r="IO28" t="e">
        <f>AND(AprendizajeColaborativo_P1!D13,"AAAAAF9z/vg=")</f>
        <v>#VALUE!</v>
      </c>
      <c r="IP28" t="e">
        <f>AND(AprendizajeColaborativo_P1!E13,"AAAAAF9z/vk=")</f>
        <v>#VALUE!</v>
      </c>
      <c r="IQ28" t="e">
        <f>AND(AprendizajeColaborativo_P1!F13,"AAAAAF9z/vo=")</f>
        <v>#VALUE!</v>
      </c>
      <c r="IR28" t="e">
        <f>AND(AprendizajeColaborativo_P1!G13,"AAAAAF9z/vs=")</f>
        <v>#VALUE!</v>
      </c>
      <c r="IS28" t="e">
        <f>AND(AprendizajeColaborativo_P1!H13,"AAAAAF9z/vw=")</f>
        <v>#VALUE!</v>
      </c>
      <c r="IT28" t="e">
        <f>AND(AprendizajeColaborativo_P1!#REF!,"AAAAAF9z/v0=")</f>
        <v>#REF!</v>
      </c>
      <c r="IU28" t="e">
        <f>AND(AprendizajeColaborativo_P1!I13,"AAAAAF9z/v4=")</f>
        <v>#VALUE!</v>
      </c>
      <c r="IV28" t="e">
        <f>AND(AprendizajeColaborativo_P1!J13,"AAAAAF9z/v8=")</f>
        <v>#VALUE!</v>
      </c>
    </row>
    <row r="29" spans="1:256" x14ac:dyDescent="0.2">
      <c r="A29" t="e">
        <f>AND(AprendizajeColaborativo_P1!K13,"AAAAAHX1dgA=")</f>
        <v>#VALUE!</v>
      </c>
      <c r="B29" t="str">
        <f>IF(AprendizajeColaborativo_P1!14:14,"AAAAAHX1dgE=",0)</f>
        <v>AAAAAHX1dgE=</v>
      </c>
      <c r="C29" t="e">
        <f>AND(AprendizajeColaborativo_P1!A14,"AAAAAHX1dgI=")</f>
        <v>#VALUE!</v>
      </c>
      <c r="D29" t="e">
        <f>AND(AprendizajeColaborativo_P1!#REF!,"AAAAAHX1dgM=")</f>
        <v>#REF!</v>
      </c>
      <c r="E29" t="e">
        <f>AND(AprendizajeColaborativo_P1!B14,"AAAAAHX1dgQ=")</f>
        <v>#VALUE!</v>
      </c>
      <c r="F29" t="e">
        <f>AND(AprendizajeColaborativo_P1!C14,"AAAAAHX1dgU=")</f>
        <v>#VALUE!</v>
      </c>
      <c r="G29" t="e">
        <f>AND(AprendizajeColaborativo_P1!D14,"AAAAAHX1dgY=")</f>
        <v>#VALUE!</v>
      </c>
      <c r="H29" t="e">
        <f>AND(AprendizajeColaborativo_P1!E14,"AAAAAHX1dgc=")</f>
        <v>#VALUE!</v>
      </c>
      <c r="I29" t="e">
        <f>AND(AprendizajeColaborativo_P1!F14,"AAAAAHX1dgg=")</f>
        <v>#VALUE!</v>
      </c>
      <c r="J29" t="e">
        <f>AND(AprendizajeColaborativo_P1!G14,"AAAAAHX1dgk=")</f>
        <v>#VALUE!</v>
      </c>
      <c r="K29" t="e">
        <f>AND(AprendizajeColaborativo_P1!H14,"AAAAAHX1dgo=")</f>
        <v>#VALUE!</v>
      </c>
      <c r="L29" t="e">
        <f>AND(AprendizajeColaborativo_P1!#REF!,"AAAAAHX1dgs=")</f>
        <v>#REF!</v>
      </c>
      <c r="M29" t="e">
        <f>AND(AprendizajeColaborativo_P1!I14,"AAAAAHX1dgw=")</f>
        <v>#VALUE!</v>
      </c>
      <c r="N29" t="e">
        <f>AND(AprendizajeColaborativo_P1!J14,"AAAAAHX1dg0=")</f>
        <v>#VALUE!</v>
      </c>
      <c r="O29" t="e">
        <f>AND(AprendizajeColaborativo_P1!K14,"AAAAAHX1dg4=")</f>
        <v>#VALUE!</v>
      </c>
      <c r="P29">
        <f>IF(AprendizajeColaborativo_P1!15:15,"AAAAAHX1dg8=",0)</f>
        <v>0</v>
      </c>
      <c r="Q29" t="e">
        <f>AND(AprendizajeColaborativo_P1!A15,"AAAAAHX1dhA=")</f>
        <v>#VALUE!</v>
      </c>
      <c r="R29" t="e">
        <f>AND(AprendizajeColaborativo_P1!#REF!,"AAAAAHX1dhE=")</f>
        <v>#REF!</v>
      </c>
      <c r="S29" t="e">
        <f>AND(AprendizajeColaborativo_P1!B15,"AAAAAHX1dhI=")</f>
        <v>#VALUE!</v>
      </c>
      <c r="T29" t="e">
        <f>AND(AprendizajeColaborativo_P1!C15,"AAAAAHX1dhM=")</f>
        <v>#VALUE!</v>
      </c>
      <c r="U29" t="e">
        <f>AND(AprendizajeColaborativo_P1!D15,"AAAAAHX1dhQ=")</f>
        <v>#VALUE!</v>
      </c>
      <c r="V29" t="e">
        <f>AND(AprendizajeColaborativo_P1!E15,"AAAAAHX1dhU=")</f>
        <v>#VALUE!</v>
      </c>
      <c r="W29" t="e">
        <f>AND(AprendizajeColaborativo_P1!F15,"AAAAAHX1dhY=")</f>
        <v>#VALUE!</v>
      </c>
      <c r="X29" t="e">
        <f>AND(AprendizajeColaborativo_P1!G15,"AAAAAHX1dhc=")</f>
        <v>#VALUE!</v>
      </c>
      <c r="Y29" t="e">
        <f>AND(AprendizajeColaborativo_P1!H15,"AAAAAHX1dhg=")</f>
        <v>#VALUE!</v>
      </c>
      <c r="Z29" t="e">
        <f>AND(AprendizajeColaborativo_P1!#REF!,"AAAAAHX1dhk=")</f>
        <v>#REF!</v>
      </c>
      <c r="AA29" t="e">
        <f>AND(AprendizajeColaborativo_P1!I15,"AAAAAHX1dho=")</f>
        <v>#VALUE!</v>
      </c>
      <c r="AB29" t="e">
        <f>AND(AprendizajeColaborativo_P1!J15,"AAAAAHX1dhs=")</f>
        <v>#VALUE!</v>
      </c>
      <c r="AC29" t="e">
        <f>AND(AprendizajeColaborativo_P1!K15,"AAAAAHX1dhw=")</f>
        <v>#VALUE!</v>
      </c>
      <c r="AD29">
        <f>IF(AprendizajeColaborativo_P1!16:16,"AAAAAHX1dh0=",0)</f>
        <v>0</v>
      </c>
      <c r="AE29" t="e">
        <f>AND(AprendizajeColaborativo_P1!A16,"AAAAAHX1dh4=")</f>
        <v>#VALUE!</v>
      </c>
      <c r="AF29" t="e">
        <f>AND(AprendizajeColaborativo_P1!#REF!,"AAAAAHX1dh8=")</f>
        <v>#REF!</v>
      </c>
      <c r="AG29" t="e">
        <f>AND(AprendizajeColaborativo_P1!B16,"AAAAAHX1diA=")</f>
        <v>#VALUE!</v>
      </c>
      <c r="AH29" t="e">
        <f>AND(AprendizajeColaborativo_P1!C16,"AAAAAHX1diE=")</f>
        <v>#VALUE!</v>
      </c>
      <c r="AI29" t="e">
        <f>AND(AprendizajeColaborativo_P1!D16,"AAAAAHX1diI=")</f>
        <v>#VALUE!</v>
      </c>
      <c r="AJ29" t="e">
        <f>AND(AprendizajeColaborativo_P1!E16,"AAAAAHX1diM=")</f>
        <v>#VALUE!</v>
      </c>
      <c r="AK29" t="e">
        <f>AND(AprendizajeColaborativo_P1!F16,"AAAAAHX1diQ=")</f>
        <v>#VALUE!</v>
      </c>
      <c r="AL29" t="e">
        <f>AND(AprendizajeColaborativo_P1!G16,"AAAAAHX1diU=")</f>
        <v>#VALUE!</v>
      </c>
      <c r="AM29" t="e">
        <f>AND(AprendizajeColaborativo_P1!H16,"AAAAAHX1diY=")</f>
        <v>#VALUE!</v>
      </c>
      <c r="AN29" t="e">
        <f>AND(AprendizajeColaborativo_P1!#REF!,"AAAAAHX1dic=")</f>
        <v>#REF!</v>
      </c>
      <c r="AO29" t="e">
        <f>AND(AprendizajeColaborativo_P1!I16,"AAAAAHX1dig=")</f>
        <v>#VALUE!</v>
      </c>
      <c r="AP29" t="e">
        <f>AND(AprendizajeColaborativo_P1!J16,"AAAAAHX1dik=")</f>
        <v>#VALUE!</v>
      </c>
      <c r="AQ29" t="e">
        <f>AND(AprendizajeColaborativo_P1!K16,"AAAAAHX1dio=")</f>
        <v>#VALUE!</v>
      </c>
      <c r="AR29">
        <f>IF(AprendizajeColaborativo_P1!17:17,"AAAAAHX1dis=",0)</f>
        <v>0</v>
      </c>
      <c r="AS29" t="e">
        <f>AND(AprendizajeColaborativo_P1!A17,"AAAAAHX1diw=")</f>
        <v>#VALUE!</v>
      </c>
      <c r="AT29" t="e">
        <f>AND(AprendizajeColaborativo_P1!#REF!,"AAAAAHX1di0=")</f>
        <v>#REF!</v>
      </c>
      <c r="AU29" t="e">
        <f>AND(AprendizajeColaborativo_P1!B17,"AAAAAHX1di4=")</f>
        <v>#VALUE!</v>
      </c>
      <c r="AV29" t="e">
        <f>AND(AprendizajeColaborativo_P1!C17,"AAAAAHX1di8=")</f>
        <v>#VALUE!</v>
      </c>
      <c r="AW29" t="e">
        <f>AND(AprendizajeColaborativo_P1!D17,"AAAAAHX1djA=")</f>
        <v>#VALUE!</v>
      </c>
      <c r="AX29" t="e">
        <f>AND(AprendizajeColaborativo_P1!E17,"AAAAAHX1djE=")</f>
        <v>#VALUE!</v>
      </c>
      <c r="AY29" t="e">
        <f>AND(AprendizajeColaborativo_P1!F17,"AAAAAHX1djI=")</f>
        <v>#VALUE!</v>
      </c>
      <c r="AZ29" t="e">
        <f>AND(AprendizajeColaborativo_P1!G17,"AAAAAHX1djM=")</f>
        <v>#VALUE!</v>
      </c>
      <c r="BA29" t="e">
        <f>AND(AprendizajeColaborativo_P1!H17,"AAAAAHX1djQ=")</f>
        <v>#VALUE!</v>
      </c>
      <c r="BB29" t="e">
        <f>AND(AprendizajeColaborativo_P1!#REF!,"AAAAAHX1djU=")</f>
        <v>#REF!</v>
      </c>
      <c r="BC29" t="e">
        <f>AND(AprendizajeColaborativo_P1!I17,"AAAAAHX1djY=")</f>
        <v>#VALUE!</v>
      </c>
      <c r="BD29" t="e">
        <f>AND(AprendizajeColaborativo_P1!J17,"AAAAAHX1djc=")</f>
        <v>#VALUE!</v>
      </c>
      <c r="BE29" t="e">
        <f>AND(AprendizajeColaborativo_P1!K17,"AAAAAHX1djg=")</f>
        <v>#VALUE!</v>
      </c>
      <c r="BF29">
        <f>IF(AprendizajeColaborativo_P1!18:18,"AAAAAHX1djk=",0)</f>
        <v>0</v>
      </c>
      <c r="BG29" t="e">
        <f>AND(AprendizajeColaborativo_P1!A18,"AAAAAHX1djo=")</f>
        <v>#VALUE!</v>
      </c>
      <c r="BH29" t="e">
        <f>AND(AprendizajeColaborativo_P1!#REF!,"AAAAAHX1djs=")</f>
        <v>#REF!</v>
      </c>
      <c r="BI29" t="e">
        <f>AND(AprendizajeColaborativo_P1!B18,"AAAAAHX1djw=")</f>
        <v>#VALUE!</v>
      </c>
      <c r="BJ29" t="e">
        <f>AND(AprendizajeColaborativo_P1!C18,"AAAAAHX1dj0=")</f>
        <v>#VALUE!</v>
      </c>
      <c r="BK29" t="e">
        <f>AND(AprendizajeColaborativo_P1!D18,"AAAAAHX1dj4=")</f>
        <v>#VALUE!</v>
      </c>
      <c r="BL29" t="e">
        <f>AND(AprendizajeColaborativo_P1!E18,"AAAAAHX1dj8=")</f>
        <v>#VALUE!</v>
      </c>
      <c r="BM29" t="e">
        <f>AND(AprendizajeColaborativo_P1!F18,"AAAAAHX1dkA=")</f>
        <v>#VALUE!</v>
      </c>
      <c r="BN29" t="e">
        <f>AND(AprendizajeColaborativo_P1!G18,"AAAAAHX1dkE=")</f>
        <v>#VALUE!</v>
      </c>
      <c r="BO29" t="e">
        <f>AND(AprendizajeColaborativo_P1!H18,"AAAAAHX1dkI=")</f>
        <v>#VALUE!</v>
      </c>
      <c r="BP29" t="e">
        <f>AND(AprendizajeColaborativo_P1!#REF!,"AAAAAHX1dkM=")</f>
        <v>#REF!</v>
      </c>
      <c r="BQ29" t="e">
        <f>AND(AprendizajeColaborativo_P1!I18,"AAAAAHX1dkQ=")</f>
        <v>#VALUE!</v>
      </c>
      <c r="BR29" t="e">
        <f>AND(AprendizajeColaborativo_P1!J18,"AAAAAHX1dkU=")</f>
        <v>#VALUE!</v>
      </c>
      <c r="BS29" t="e">
        <f>AND(AprendizajeColaborativo_P1!K18,"AAAAAHX1dkY=")</f>
        <v>#VALUE!</v>
      </c>
      <c r="BT29">
        <f>IF(AprendizajeColaborativo_P1!19:19,"AAAAAHX1dkc=",0)</f>
        <v>0</v>
      </c>
      <c r="BU29" t="e">
        <f>AND(AprendizajeColaborativo_P1!A19,"AAAAAHX1dkg=")</f>
        <v>#VALUE!</v>
      </c>
      <c r="BV29" t="e">
        <f>AND(AprendizajeColaborativo_P1!#REF!,"AAAAAHX1dkk=")</f>
        <v>#REF!</v>
      </c>
      <c r="BW29" t="e">
        <f>AND(AprendizajeColaborativo_P1!B19,"AAAAAHX1dko=")</f>
        <v>#VALUE!</v>
      </c>
      <c r="BX29" t="e">
        <f>AND(AprendizajeColaborativo_P1!C19,"AAAAAHX1dks=")</f>
        <v>#VALUE!</v>
      </c>
      <c r="BY29" t="e">
        <f>AND(AprendizajeColaborativo_P1!D19,"AAAAAHX1dkw=")</f>
        <v>#VALUE!</v>
      </c>
      <c r="BZ29" t="e">
        <f>AND(AprendizajeColaborativo_P1!E19,"AAAAAHX1dk0=")</f>
        <v>#VALUE!</v>
      </c>
      <c r="CA29" t="e">
        <f>AND(AprendizajeColaborativo_P1!F19,"AAAAAHX1dk4=")</f>
        <v>#VALUE!</v>
      </c>
      <c r="CB29" t="e">
        <f>AND(AprendizajeColaborativo_P1!G19,"AAAAAHX1dk8=")</f>
        <v>#VALUE!</v>
      </c>
      <c r="CC29" t="e">
        <f>AND(AprendizajeColaborativo_P1!H19,"AAAAAHX1dlA=")</f>
        <v>#VALUE!</v>
      </c>
      <c r="CD29" t="e">
        <f>AND(AprendizajeColaborativo_P1!#REF!,"AAAAAHX1dlE=")</f>
        <v>#REF!</v>
      </c>
      <c r="CE29" t="e">
        <f>AND(AprendizajeColaborativo_P1!I19,"AAAAAHX1dlI=")</f>
        <v>#VALUE!</v>
      </c>
      <c r="CF29" t="e">
        <f>AND(AprendizajeColaborativo_P1!J19,"AAAAAHX1dlM=")</f>
        <v>#VALUE!</v>
      </c>
      <c r="CG29" t="e">
        <f>AND(AprendizajeColaborativo_P1!K19,"AAAAAHX1dlQ=")</f>
        <v>#VALUE!</v>
      </c>
      <c r="CH29">
        <f>IF(AprendizajeColaborativo_P1!20:20,"AAAAAHX1dlU=",0)</f>
        <v>0</v>
      </c>
      <c r="CI29" t="e">
        <f>AND(AprendizajeColaborativo_P1!A20,"AAAAAHX1dlY=")</f>
        <v>#VALUE!</v>
      </c>
      <c r="CJ29" t="e">
        <f>AND(AprendizajeColaborativo_P1!#REF!,"AAAAAHX1dlc=")</f>
        <v>#REF!</v>
      </c>
      <c r="CK29" t="e">
        <f>AND(AprendizajeColaborativo_P1!B20,"AAAAAHX1dlg=")</f>
        <v>#VALUE!</v>
      </c>
      <c r="CL29" t="e">
        <f>AND(AprendizajeColaborativo_P1!C20,"AAAAAHX1dlk=")</f>
        <v>#VALUE!</v>
      </c>
      <c r="CM29" t="e">
        <f>AND(AprendizajeColaborativo_P1!D20,"AAAAAHX1dlo=")</f>
        <v>#VALUE!</v>
      </c>
      <c r="CN29" t="e">
        <f>AND(AprendizajeColaborativo_P1!E20,"AAAAAHX1dls=")</f>
        <v>#VALUE!</v>
      </c>
      <c r="CO29" t="e">
        <f>AND(AprendizajeColaborativo_P1!F20,"AAAAAHX1dlw=")</f>
        <v>#VALUE!</v>
      </c>
      <c r="CP29" t="e">
        <f>AND(AprendizajeColaborativo_P1!G20,"AAAAAHX1dl0=")</f>
        <v>#VALUE!</v>
      </c>
      <c r="CQ29" t="e">
        <f>AND(AprendizajeColaborativo_P1!H20,"AAAAAHX1dl4=")</f>
        <v>#VALUE!</v>
      </c>
      <c r="CR29" t="e">
        <f>AND(AprendizajeColaborativo_P1!#REF!,"AAAAAHX1dl8=")</f>
        <v>#REF!</v>
      </c>
      <c r="CS29" t="e">
        <f>AND(AprendizajeColaborativo_P1!I20,"AAAAAHX1dmA=")</f>
        <v>#VALUE!</v>
      </c>
      <c r="CT29" t="e">
        <f>AND(AprendizajeColaborativo_P1!J20,"AAAAAHX1dmE=")</f>
        <v>#VALUE!</v>
      </c>
      <c r="CU29" t="e">
        <f>AND(AprendizajeColaborativo_P1!K20,"AAAAAHX1dmI=")</f>
        <v>#VALUE!</v>
      </c>
      <c r="CV29">
        <f>IF(AprendizajeColaborativo_P1!21:21,"AAAAAHX1dmM=",0)</f>
        <v>0</v>
      </c>
      <c r="CW29" t="e">
        <f>AND(AprendizajeColaborativo_P1!A21,"AAAAAHX1dmQ=")</f>
        <v>#VALUE!</v>
      </c>
      <c r="CX29" t="e">
        <f>AND(AprendizajeColaborativo_P1!#REF!,"AAAAAHX1dmU=")</f>
        <v>#REF!</v>
      </c>
      <c r="CY29" t="e">
        <f>AND(AprendizajeColaborativo_P1!B21,"AAAAAHX1dmY=")</f>
        <v>#VALUE!</v>
      </c>
      <c r="CZ29" t="e">
        <f>AND(AprendizajeColaborativo_P1!C21,"AAAAAHX1dmc=")</f>
        <v>#VALUE!</v>
      </c>
      <c r="DA29" t="e">
        <f>AND(AprendizajeColaborativo_P1!D21,"AAAAAHX1dmg=")</f>
        <v>#VALUE!</v>
      </c>
      <c r="DB29" t="e">
        <f>AND(AprendizajeColaborativo_P1!E21,"AAAAAHX1dmk=")</f>
        <v>#VALUE!</v>
      </c>
      <c r="DC29" t="e">
        <f>AND(AprendizajeColaborativo_P1!F21,"AAAAAHX1dmo=")</f>
        <v>#VALUE!</v>
      </c>
      <c r="DD29" t="e">
        <f>AND(AprendizajeColaborativo_P1!G21,"AAAAAHX1dms=")</f>
        <v>#VALUE!</v>
      </c>
      <c r="DE29" t="e">
        <f>AND(AprendizajeColaborativo_P1!H21,"AAAAAHX1dmw=")</f>
        <v>#VALUE!</v>
      </c>
      <c r="DF29" t="e">
        <f>AND(AprendizajeColaborativo_P1!#REF!,"AAAAAHX1dm0=")</f>
        <v>#REF!</v>
      </c>
      <c r="DG29" t="e">
        <f>AND(AprendizajeColaborativo_P1!I21,"AAAAAHX1dm4=")</f>
        <v>#VALUE!</v>
      </c>
      <c r="DH29" t="e">
        <f>AND(AprendizajeColaborativo_P1!J21,"AAAAAHX1dm8=")</f>
        <v>#VALUE!</v>
      </c>
      <c r="DI29" t="e">
        <f>AND(AprendizajeColaborativo_P1!K21,"AAAAAHX1dnA=")</f>
        <v>#VALUE!</v>
      </c>
      <c r="DJ29">
        <f>IF(AprendizajeColaborativo_P1!22:22,"AAAAAHX1dnE=",0)</f>
        <v>0</v>
      </c>
      <c r="DK29" t="e">
        <f>AND(AprendizajeColaborativo_P1!A22,"AAAAAHX1dnI=")</f>
        <v>#VALUE!</v>
      </c>
      <c r="DL29" t="e">
        <f>AND(AprendizajeColaborativo_P1!#REF!,"AAAAAHX1dnM=")</f>
        <v>#REF!</v>
      </c>
      <c r="DM29" t="e">
        <f>AND(AprendizajeColaborativo_P1!B22,"AAAAAHX1dnQ=")</f>
        <v>#VALUE!</v>
      </c>
      <c r="DN29" t="e">
        <f>AND(AprendizajeColaborativo_P1!C22,"AAAAAHX1dnU=")</f>
        <v>#VALUE!</v>
      </c>
      <c r="DO29" t="e">
        <f>AND(AprendizajeColaborativo_P1!D22,"AAAAAHX1dnY=")</f>
        <v>#VALUE!</v>
      </c>
      <c r="DP29" t="e">
        <f>AND(AprendizajeColaborativo_P1!E22,"AAAAAHX1dnc=")</f>
        <v>#VALUE!</v>
      </c>
      <c r="DQ29" t="e">
        <f>AND(AprendizajeColaborativo_P1!F22,"AAAAAHX1dng=")</f>
        <v>#VALUE!</v>
      </c>
      <c r="DR29" t="e">
        <f>AND(AprendizajeColaborativo_P1!G22,"AAAAAHX1dnk=")</f>
        <v>#VALUE!</v>
      </c>
      <c r="DS29" t="e">
        <f>IF(AprendizajeColaborativo_P1!#REF!,"AAAAAHX1dno=",0)</f>
        <v>#REF!</v>
      </c>
      <c r="DT29" t="e">
        <f>AND(AprendizajeColaborativo_P1!#REF!,"AAAAAHX1dns=")</f>
        <v>#REF!</v>
      </c>
      <c r="DU29" t="e">
        <f>AND(AprendizajeColaborativo_P1!#REF!,"AAAAAHX1dnw=")</f>
        <v>#REF!</v>
      </c>
      <c r="DV29" t="e">
        <f>AND(AprendizajeColaborativo_P1!#REF!,"AAAAAHX1dn0=")</f>
        <v>#REF!</v>
      </c>
      <c r="DW29" t="e">
        <f>AND(AprendizajeColaborativo_P1!#REF!,"AAAAAHX1dn4=")</f>
        <v>#REF!</v>
      </c>
      <c r="DX29" t="e">
        <f>AND(AprendizajeColaborativo_P1!#REF!,"AAAAAHX1dn8=")</f>
        <v>#REF!</v>
      </c>
      <c r="DY29" t="e">
        <f>AND(AprendizajeColaborativo_P1!#REF!,"AAAAAHX1doA=")</f>
        <v>#REF!</v>
      </c>
      <c r="DZ29" t="e">
        <f>AND(AprendizajeColaborativo_P1!#REF!,"AAAAAHX1doE=")</f>
        <v>#REF!</v>
      </c>
      <c r="EA29" t="e">
        <f>AND(AprendizajeColaborativo_P1!#REF!,"AAAAAHX1doI=")</f>
        <v>#REF!</v>
      </c>
      <c r="EB29" t="e">
        <f>IF(AprendizajeColaborativo_P1!#REF!,"AAAAAHX1doM=",0)</f>
        <v>#REF!</v>
      </c>
      <c r="EC29" t="e">
        <f>AND(AprendizajeColaborativo_P1!#REF!,"AAAAAHX1doQ=")</f>
        <v>#REF!</v>
      </c>
      <c r="ED29" t="e">
        <f>AND(AprendizajeColaborativo_P1!#REF!,"AAAAAHX1doU=")</f>
        <v>#REF!</v>
      </c>
      <c r="EE29" t="e">
        <f>AND(AprendizajeColaborativo_P1!#REF!,"AAAAAHX1doY=")</f>
        <v>#REF!</v>
      </c>
      <c r="EF29" t="e">
        <f>AND(AprendizajeColaborativo_P1!#REF!,"AAAAAHX1doc=")</f>
        <v>#REF!</v>
      </c>
      <c r="EG29" t="e">
        <f>AND(AprendizajeColaborativo_P1!#REF!,"AAAAAHX1dog=")</f>
        <v>#REF!</v>
      </c>
      <c r="EH29" t="e">
        <f>AND(AprendizajeColaborativo_P1!#REF!,"AAAAAHX1dok=")</f>
        <v>#REF!</v>
      </c>
      <c r="EI29" t="e">
        <f>AND(AprendizajeColaborativo_P1!#REF!,"AAAAAHX1doo=")</f>
        <v>#REF!</v>
      </c>
      <c r="EJ29" t="e">
        <f>AND(AprendizajeColaborativo_P1!#REF!,"AAAAAHX1dos=")</f>
        <v>#REF!</v>
      </c>
      <c r="EK29" t="e">
        <f>IF(AprendizajeColaborativo_P1!#REF!,"AAAAAHX1dow=",0)</f>
        <v>#REF!</v>
      </c>
      <c r="EL29" t="e">
        <f>AND(AprendizajeColaborativo_P1!#REF!,"AAAAAHX1do0=")</f>
        <v>#REF!</v>
      </c>
      <c r="EM29" t="e">
        <f>AND(AprendizajeColaborativo_P1!#REF!,"AAAAAHX1do4=")</f>
        <v>#REF!</v>
      </c>
      <c r="EN29" t="e">
        <f>AND(AprendizajeColaborativo_P1!#REF!,"AAAAAHX1do8=")</f>
        <v>#REF!</v>
      </c>
      <c r="EO29" t="e">
        <f>AND(AprendizajeColaborativo_P1!#REF!,"AAAAAHX1dpA=")</f>
        <v>#REF!</v>
      </c>
      <c r="EP29" t="e">
        <f>AND(AprendizajeColaborativo_P1!#REF!,"AAAAAHX1dpE=")</f>
        <v>#REF!</v>
      </c>
      <c r="EQ29" t="e">
        <f>AND(AprendizajeColaborativo_P1!#REF!,"AAAAAHX1dpI=")</f>
        <v>#REF!</v>
      </c>
      <c r="ER29" t="e">
        <f>AND(AprendizajeColaborativo_P1!#REF!,"AAAAAHX1dpM=")</f>
        <v>#REF!</v>
      </c>
      <c r="ES29" t="e">
        <f>AND(AprendizajeColaborativo_P1!#REF!,"AAAAAHX1dpQ=")</f>
        <v>#REF!</v>
      </c>
      <c r="ET29" t="e">
        <f>IF(AprendizajeColaborativo_P1!#REF!,"AAAAAHX1dpU=",0)</f>
        <v>#REF!</v>
      </c>
      <c r="EU29" t="e">
        <f>AND(AprendizajeColaborativo_P1!#REF!,"AAAAAHX1dpY=")</f>
        <v>#REF!</v>
      </c>
      <c r="EV29" t="e">
        <f>AND(AprendizajeColaborativo_P1!#REF!,"AAAAAHX1dpc=")</f>
        <v>#REF!</v>
      </c>
      <c r="EW29" t="e">
        <f>AND(AprendizajeColaborativo_P1!#REF!,"AAAAAHX1dpg=")</f>
        <v>#REF!</v>
      </c>
      <c r="EX29" t="e">
        <f>AND(AprendizajeColaborativo_P1!#REF!,"AAAAAHX1dpk=")</f>
        <v>#REF!</v>
      </c>
      <c r="EY29" t="e">
        <f>AND(AprendizajeColaborativo_P1!#REF!,"AAAAAHX1dpo=")</f>
        <v>#REF!</v>
      </c>
      <c r="EZ29" t="e">
        <f>AND(AprendizajeColaborativo_P1!#REF!,"AAAAAHX1dps=")</f>
        <v>#REF!</v>
      </c>
      <c r="FA29" t="e">
        <f>AND(AprendizajeColaborativo_P1!#REF!,"AAAAAHX1dpw=")</f>
        <v>#REF!</v>
      </c>
      <c r="FB29" t="e">
        <f>AND(AprendizajeColaborativo_P1!#REF!,"AAAAAHX1dp0=")</f>
        <v>#REF!</v>
      </c>
      <c r="FC29" t="e">
        <f>IF(AprendizajeColaborativo_P1!#REF!,"AAAAAHX1dp4=",0)</f>
        <v>#REF!</v>
      </c>
      <c r="FD29" t="e">
        <f>AND(AprendizajeColaborativo_P1!#REF!,"AAAAAHX1dp8=")</f>
        <v>#REF!</v>
      </c>
      <c r="FE29" t="e">
        <f>AND(AprendizajeColaborativo_P1!#REF!,"AAAAAHX1dqA=")</f>
        <v>#REF!</v>
      </c>
      <c r="FF29" t="e">
        <f>AND(AprendizajeColaborativo_P1!#REF!,"AAAAAHX1dqE=")</f>
        <v>#REF!</v>
      </c>
      <c r="FG29" t="e">
        <f>AND(AprendizajeColaborativo_P1!#REF!,"AAAAAHX1dqI=")</f>
        <v>#REF!</v>
      </c>
      <c r="FH29" t="e">
        <f>AND(AprendizajeColaborativo_P1!#REF!,"AAAAAHX1dqM=")</f>
        <v>#REF!</v>
      </c>
      <c r="FI29" t="e">
        <f>AND(AprendizajeColaborativo_P1!#REF!,"AAAAAHX1dqQ=")</f>
        <v>#REF!</v>
      </c>
      <c r="FJ29" t="e">
        <f>AND(AprendizajeColaborativo_P1!#REF!,"AAAAAHX1dqU=")</f>
        <v>#REF!</v>
      </c>
      <c r="FK29" t="e">
        <f>AND(AprendizajeColaborativo_P1!#REF!,"AAAAAHX1dqY=")</f>
        <v>#REF!</v>
      </c>
      <c r="FL29" t="e">
        <f>IF(AprendizajeColaborativo_P1!#REF!,"AAAAAHX1dqc=",0)</f>
        <v>#REF!</v>
      </c>
      <c r="FM29" t="e">
        <f>AND(AprendizajeColaborativo_P1!#REF!,"AAAAAHX1dqg=")</f>
        <v>#REF!</v>
      </c>
      <c r="FN29" t="e">
        <f>AND(AprendizajeColaborativo_P1!#REF!,"AAAAAHX1dqk=")</f>
        <v>#REF!</v>
      </c>
      <c r="FO29" t="e">
        <f>AND(AprendizajeColaborativo_P1!#REF!,"AAAAAHX1dqo=")</f>
        <v>#REF!</v>
      </c>
      <c r="FP29" t="e">
        <f>AND(AprendizajeColaborativo_P1!#REF!,"AAAAAHX1dqs=")</f>
        <v>#REF!</v>
      </c>
      <c r="FQ29" t="e">
        <f>AND(AprendizajeColaborativo_P1!#REF!,"AAAAAHX1dqw=")</f>
        <v>#REF!</v>
      </c>
      <c r="FR29" t="e">
        <f>AND(AprendizajeColaborativo_P1!#REF!,"AAAAAHX1dq0=")</f>
        <v>#REF!</v>
      </c>
      <c r="FS29" t="e">
        <f>AND(AprendizajeColaborativo_P1!#REF!,"AAAAAHX1dq4=")</f>
        <v>#REF!</v>
      </c>
      <c r="FT29" t="e">
        <f>AND(AprendizajeColaborativo_P1!#REF!,"AAAAAHX1dq8=")</f>
        <v>#REF!</v>
      </c>
      <c r="FU29" t="e">
        <f>IF(AprendizajeColaborativo_P1!#REF!,"AAAAAHX1drA=",0)</f>
        <v>#REF!</v>
      </c>
      <c r="FV29" t="e">
        <f>AND(AprendizajeColaborativo_P1!#REF!,"AAAAAHX1drE=")</f>
        <v>#REF!</v>
      </c>
      <c r="FW29" t="e">
        <f>AND(AprendizajeColaborativo_P1!#REF!,"AAAAAHX1drI=")</f>
        <v>#REF!</v>
      </c>
      <c r="FX29" t="e">
        <f>AND(AprendizajeColaborativo_P1!#REF!,"AAAAAHX1drM=")</f>
        <v>#REF!</v>
      </c>
      <c r="FY29" t="e">
        <f>AND(AprendizajeColaborativo_P1!#REF!,"AAAAAHX1drQ=")</f>
        <v>#REF!</v>
      </c>
      <c r="FZ29" t="e">
        <f>AND(AprendizajeColaborativo_P1!#REF!,"AAAAAHX1drU=")</f>
        <v>#REF!</v>
      </c>
      <c r="GA29" t="e">
        <f>AND(AprendizajeColaborativo_P1!#REF!,"AAAAAHX1drY=")</f>
        <v>#REF!</v>
      </c>
      <c r="GB29" t="e">
        <f>AND(AprendizajeColaborativo_P1!#REF!,"AAAAAHX1drc=")</f>
        <v>#REF!</v>
      </c>
      <c r="GC29" t="e">
        <f>AND(AprendizajeColaborativo_P1!#REF!,"AAAAAHX1drg=")</f>
        <v>#REF!</v>
      </c>
      <c r="GD29" t="e">
        <f>IF(AprendizajeColaborativo_P1!#REF!,"AAAAAHX1drk=",0)</f>
        <v>#REF!</v>
      </c>
      <c r="GE29" t="e">
        <f>AND(AprendizajeColaborativo_P1!#REF!,"AAAAAHX1dro=")</f>
        <v>#REF!</v>
      </c>
      <c r="GF29" t="e">
        <f>AND(AprendizajeColaborativo_P1!#REF!,"AAAAAHX1drs=")</f>
        <v>#REF!</v>
      </c>
      <c r="GG29" t="e">
        <f>AND(AprendizajeColaborativo_P1!#REF!,"AAAAAHX1drw=")</f>
        <v>#REF!</v>
      </c>
      <c r="GH29" t="e">
        <f>AND(AprendizajeColaborativo_P1!#REF!,"AAAAAHX1dr0=")</f>
        <v>#REF!</v>
      </c>
      <c r="GI29" t="e">
        <f>AND(AprendizajeColaborativo_P1!#REF!,"AAAAAHX1dr4=")</f>
        <v>#REF!</v>
      </c>
      <c r="GJ29" t="e">
        <f>AND(AprendizajeColaborativo_P1!#REF!,"AAAAAHX1dr8=")</f>
        <v>#REF!</v>
      </c>
      <c r="GK29" t="e">
        <f>AND(AprendizajeColaborativo_P1!#REF!,"AAAAAHX1dsA=")</f>
        <v>#REF!</v>
      </c>
      <c r="GL29" t="e">
        <f>AND(AprendizajeColaborativo_P1!#REF!,"AAAAAHX1dsE=")</f>
        <v>#REF!</v>
      </c>
      <c r="GM29" t="e">
        <f>IF(AprendizajeColaborativo_P1!#REF!,"AAAAAHX1dsI=",0)</f>
        <v>#REF!</v>
      </c>
      <c r="GN29" t="e">
        <f>AND(AprendizajeColaborativo_P1!#REF!,"AAAAAHX1dsM=")</f>
        <v>#REF!</v>
      </c>
      <c r="GO29" t="e">
        <f>AND(AprendizajeColaborativo_P1!#REF!,"AAAAAHX1dsQ=")</f>
        <v>#REF!</v>
      </c>
      <c r="GP29" t="e">
        <f>AND(AprendizajeColaborativo_P1!#REF!,"AAAAAHX1dsU=")</f>
        <v>#REF!</v>
      </c>
      <c r="GQ29" t="e">
        <f>AND(AprendizajeColaborativo_P1!#REF!,"AAAAAHX1dsY=")</f>
        <v>#REF!</v>
      </c>
      <c r="GR29" t="e">
        <f>AND(AprendizajeColaborativo_P1!#REF!,"AAAAAHX1dsc=")</f>
        <v>#REF!</v>
      </c>
      <c r="GS29" t="e">
        <f>AND(AprendizajeColaborativo_P1!#REF!,"AAAAAHX1dsg=")</f>
        <v>#REF!</v>
      </c>
      <c r="GT29" t="e">
        <f>AND(AprendizajeColaborativo_P1!#REF!,"AAAAAHX1dsk=")</f>
        <v>#REF!</v>
      </c>
      <c r="GU29" t="e">
        <f>AND(AprendizajeColaborativo_P1!#REF!,"AAAAAHX1dso=")</f>
        <v>#REF!</v>
      </c>
      <c r="GV29" t="e">
        <f>IF(AprendizajeColaborativo_P1!#REF!,"AAAAAHX1dss=",0)</f>
        <v>#REF!</v>
      </c>
      <c r="GW29" t="e">
        <f>AND(AprendizajeColaborativo_P1!#REF!,"AAAAAHX1dsw=")</f>
        <v>#REF!</v>
      </c>
      <c r="GX29" t="e">
        <f>AND(AprendizajeColaborativo_P1!#REF!,"AAAAAHX1ds0=")</f>
        <v>#REF!</v>
      </c>
      <c r="GY29" t="e">
        <f>AND(AprendizajeColaborativo_P1!#REF!,"AAAAAHX1ds4=")</f>
        <v>#REF!</v>
      </c>
      <c r="GZ29" t="e">
        <f>AND(AprendizajeColaborativo_P1!#REF!,"AAAAAHX1ds8=")</f>
        <v>#REF!</v>
      </c>
      <c r="HA29" t="e">
        <f>AND(AprendizajeColaborativo_P1!#REF!,"AAAAAHX1dtA=")</f>
        <v>#REF!</v>
      </c>
      <c r="HB29" t="e">
        <f>AND(AprendizajeColaborativo_P1!#REF!,"AAAAAHX1dtE=")</f>
        <v>#REF!</v>
      </c>
      <c r="HC29" t="e">
        <f>AND(AprendizajeColaborativo_P1!#REF!,"AAAAAHX1dtI=")</f>
        <v>#REF!</v>
      </c>
      <c r="HD29" t="e">
        <f>AND(AprendizajeColaborativo_P1!#REF!,"AAAAAHX1dtM=")</f>
        <v>#REF!</v>
      </c>
      <c r="HE29" t="e">
        <f>IF(AprendizajeColaborativo_P1!#REF!,"AAAAAHX1dtQ=",0)</f>
        <v>#REF!</v>
      </c>
      <c r="HF29" t="e">
        <f>AND(AprendizajeColaborativo_P1!#REF!,"AAAAAHX1dtU=")</f>
        <v>#REF!</v>
      </c>
      <c r="HG29" t="e">
        <f>AND(AprendizajeColaborativo_P1!#REF!,"AAAAAHX1dtY=")</f>
        <v>#REF!</v>
      </c>
      <c r="HH29" t="e">
        <f>AND(AprendizajeColaborativo_P1!#REF!,"AAAAAHX1dtc=")</f>
        <v>#REF!</v>
      </c>
      <c r="HI29" t="e">
        <f>AND(AprendizajeColaborativo_P1!#REF!,"AAAAAHX1dtg=")</f>
        <v>#REF!</v>
      </c>
      <c r="HJ29" t="e">
        <f>AND(AprendizajeColaborativo_P1!#REF!,"AAAAAHX1dtk=")</f>
        <v>#REF!</v>
      </c>
      <c r="HK29" t="e">
        <f>AND(AprendizajeColaborativo_P1!#REF!,"AAAAAHX1dto=")</f>
        <v>#REF!</v>
      </c>
      <c r="HL29" t="e">
        <f>AND(AprendizajeColaborativo_P1!#REF!,"AAAAAHX1dts=")</f>
        <v>#REF!</v>
      </c>
      <c r="HM29" t="e">
        <f>AND(AprendizajeColaborativo_P1!#REF!,"AAAAAHX1dtw=")</f>
        <v>#REF!</v>
      </c>
      <c r="HN29">
        <f>IF(AprendizajeColaborativo_P1!30:30,"AAAAAHX1dt0=",0)</f>
        <v>0</v>
      </c>
      <c r="HO29" t="e">
        <f>AND(AprendizajeColaborativo_P1!A30,"AAAAAHX1dt4=")</f>
        <v>#VALUE!</v>
      </c>
      <c r="HP29" t="e">
        <f>AND(AprendizajeColaborativo_P1!#REF!,"AAAAAHX1dt8=")</f>
        <v>#REF!</v>
      </c>
      <c r="HQ29" t="e">
        <f>AND(AprendizajeColaborativo_P1!B30,"AAAAAHX1duA=")</f>
        <v>#VALUE!</v>
      </c>
      <c r="HR29" t="e">
        <f>AND(AprendizajeColaborativo_P1!C30,"AAAAAHX1duE=")</f>
        <v>#VALUE!</v>
      </c>
      <c r="HS29" t="e">
        <f>AND(AprendizajeColaborativo_P1!D30,"AAAAAHX1duI=")</f>
        <v>#VALUE!</v>
      </c>
      <c r="HT29" t="e">
        <f>AND(AprendizajeColaborativo_P1!#REF!,"AAAAAHX1duM=")</f>
        <v>#REF!</v>
      </c>
      <c r="HU29" t="e">
        <f>AND(AprendizajeColaborativo_P1!E30,"AAAAAHX1duQ=")</f>
        <v>#VALUE!</v>
      </c>
      <c r="HV29" t="e">
        <f>AND(AprendizajeColaborativo_P1!F30,"AAAAAHX1duU=")</f>
        <v>#VALUE!</v>
      </c>
      <c r="HW29">
        <f>IF(AprendizajeColaborativo_P1!31:31,"AAAAAHX1duY=",0)</f>
        <v>0</v>
      </c>
      <c r="HX29" t="e">
        <f>AND(AprendizajeColaborativo_P1!A31,"AAAAAHX1duc=")</f>
        <v>#VALUE!</v>
      </c>
      <c r="HY29" t="e">
        <f>AND(AprendizajeColaborativo_P1!#REF!,"AAAAAHX1dug=")</f>
        <v>#REF!</v>
      </c>
      <c r="HZ29" t="e">
        <f>AND(AprendizajeColaborativo_P1!#REF!,"AAAAAHX1duk=")</f>
        <v>#REF!</v>
      </c>
      <c r="IA29" t="e">
        <f>AND(AprendizajeColaborativo_P1!C31,"AAAAAHX1duo=")</f>
        <v>#VALUE!</v>
      </c>
      <c r="IB29" t="e">
        <f>AND(AprendizajeColaborativo_P1!D31,"AAAAAHX1dus=")</f>
        <v>#VALUE!</v>
      </c>
      <c r="IC29" t="e">
        <f>AND(AprendizajeColaborativo_P1!#REF!,"AAAAAHX1duw=")</f>
        <v>#REF!</v>
      </c>
      <c r="ID29" t="e">
        <f>AND(AprendizajeColaborativo_P1!E31,"AAAAAHX1du0=")</f>
        <v>#VALUE!</v>
      </c>
      <c r="IE29" t="e">
        <f>AND(AprendizajeColaborativo_P1!F31,"AAAAAHX1du4=")</f>
        <v>#VALUE!</v>
      </c>
      <c r="IF29">
        <f>IF(AprendizajeColaborativo_P1!32:32,"AAAAAHX1du8=",0)</f>
        <v>0</v>
      </c>
      <c r="IG29" t="e">
        <f>AND(AprendizajeColaborativo_P1!A32,"AAAAAHX1dvA=")</f>
        <v>#VALUE!</v>
      </c>
      <c r="IH29" t="e">
        <f>AND(AprendizajeColaborativo_P1!#REF!,"AAAAAHX1dvE=")</f>
        <v>#REF!</v>
      </c>
      <c r="II29" t="e">
        <f>AND(AprendizajeColaborativo_P1!B32,"AAAAAHX1dvI=")</f>
        <v>#VALUE!</v>
      </c>
      <c r="IJ29" t="e">
        <f>AND(AprendizajeColaborativo_P1!C32,"AAAAAHX1dvM=")</f>
        <v>#VALUE!</v>
      </c>
      <c r="IK29" t="e">
        <f>AND(AprendizajeColaborativo_P1!D32,"AAAAAHX1dvQ=")</f>
        <v>#VALUE!</v>
      </c>
      <c r="IL29" t="e">
        <f>AND(AprendizajeColaborativo_P1!#REF!,"AAAAAHX1dvU=")</f>
        <v>#REF!</v>
      </c>
      <c r="IM29" t="e">
        <f>AND(AprendizajeColaborativo_P1!E32,"AAAAAHX1dvY=")</f>
        <v>#VALUE!</v>
      </c>
      <c r="IN29" t="e">
        <f>AND(AprendizajeColaborativo_P1!F32,"AAAAAHX1dvc=")</f>
        <v>#VALUE!</v>
      </c>
      <c r="IO29">
        <f>IF(AprendizajeColaborativo_P1!33:33,"AAAAAHX1dvg=",0)</f>
        <v>0</v>
      </c>
      <c r="IP29" t="e">
        <f>AND(AprendizajeColaborativo_P1!A33,"AAAAAHX1dvk=")</f>
        <v>#VALUE!</v>
      </c>
      <c r="IQ29" t="e">
        <f>AND(AprendizajeColaborativo_P1!#REF!,"AAAAAHX1dvo=")</f>
        <v>#REF!</v>
      </c>
      <c r="IR29" t="e">
        <f>AND(AprendizajeColaborativo_P1!B33,"AAAAAHX1dvs=")</f>
        <v>#VALUE!</v>
      </c>
      <c r="IS29" t="e">
        <f>AND(AprendizajeColaborativo_P1!C33,"AAAAAHX1dvw=")</f>
        <v>#VALUE!</v>
      </c>
      <c r="IT29" t="e">
        <f>AND(AprendizajeColaborativo_P1!D33,"AAAAAHX1dv0=")</f>
        <v>#VALUE!</v>
      </c>
      <c r="IU29" t="e">
        <f>AND(AprendizajeColaborativo_P1!#REF!,"AAAAAHX1dv4=")</f>
        <v>#REF!</v>
      </c>
      <c r="IV29" t="e">
        <f>AND(AprendizajeColaborativo_P1!E33,"AAAAAHX1dv8=")</f>
        <v>#VALUE!</v>
      </c>
    </row>
    <row r="30" spans="1:256" x14ac:dyDescent="0.2">
      <c r="A30" t="e">
        <f>AND(AprendizajeColaborativo_P1!F33,"AAAAAHru6wA=")</f>
        <v>#VALUE!</v>
      </c>
      <c r="B30" t="str">
        <f>IF(AprendizajeColaborativo_P1!34:34,"AAAAAHru6wE=",0)</f>
        <v>AAAAAHru6wE=</v>
      </c>
      <c r="C30" t="e">
        <f>AND(AprendizajeColaborativo_P1!A34,"AAAAAHru6wI=")</f>
        <v>#VALUE!</v>
      </c>
      <c r="D30" t="e">
        <f>AND(AprendizajeColaborativo_P1!#REF!,"AAAAAHru6wM=")</f>
        <v>#REF!</v>
      </c>
      <c r="E30" t="e">
        <f>AND(AprendizajeColaborativo_P1!B34,"AAAAAHru6wQ=")</f>
        <v>#VALUE!</v>
      </c>
      <c r="F30" t="e">
        <f>AND(AprendizajeColaborativo_P1!C34,"AAAAAHru6wU=")</f>
        <v>#VALUE!</v>
      </c>
      <c r="G30" t="e">
        <f>AND(AprendizajeColaborativo_P1!D34,"AAAAAHru6wY=")</f>
        <v>#VALUE!</v>
      </c>
      <c r="H30" t="e">
        <f>AND(AprendizajeColaborativo_P1!#REF!,"AAAAAHru6wc=")</f>
        <v>#REF!</v>
      </c>
      <c r="I30" t="e">
        <f>AND(AprendizajeColaborativo_P1!E34,"AAAAAHru6wg=")</f>
        <v>#VALUE!</v>
      </c>
      <c r="J30" t="e">
        <f>AND(AprendizajeColaborativo_P1!F34,"AAAAAHru6wk=")</f>
        <v>#VALUE!</v>
      </c>
      <c r="K30">
        <f>IF(AprendizajeColaborativo_P1!35:35,"AAAAAHru6wo=",0)</f>
        <v>0</v>
      </c>
      <c r="L30" t="e">
        <f>AND(AprendizajeColaborativo_P1!A35,"AAAAAHru6ws=")</f>
        <v>#VALUE!</v>
      </c>
      <c r="M30" t="e">
        <f>AND(AprendizajeColaborativo_P1!#REF!,"AAAAAHru6ww=")</f>
        <v>#REF!</v>
      </c>
      <c r="N30" t="e">
        <f>AND(AprendizajeColaborativo_P1!B31,"AAAAAHru6w0=")</f>
        <v>#VALUE!</v>
      </c>
      <c r="O30" t="e">
        <f>AND(AprendizajeColaborativo_P1!C35,"AAAAAHru6w4=")</f>
        <v>#VALUE!</v>
      </c>
      <c r="P30" t="e">
        <f>AND(AprendizajeColaborativo_P1!D35,"AAAAAHru6w8=")</f>
        <v>#VALUE!</v>
      </c>
      <c r="Q30" t="e">
        <f>AND(AprendizajeColaborativo_P1!#REF!,"AAAAAHru6xA=")</f>
        <v>#REF!</v>
      </c>
      <c r="R30" t="e">
        <f>AND(AprendizajeColaborativo_P1!E35,"AAAAAHru6xE=")</f>
        <v>#VALUE!</v>
      </c>
      <c r="S30" t="e">
        <f>AND(AprendizajeColaborativo_P1!F35,"AAAAAHru6xI=")</f>
        <v>#VALUE!</v>
      </c>
      <c r="T30">
        <f>IF(AprendizajeColaborativo_P1!36:36,"AAAAAHru6xM=",0)</f>
        <v>0</v>
      </c>
      <c r="U30" t="e">
        <f>AND(AprendizajeColaborativo_P1!A36,"AAAAAHru6xQ=")</f>
        <v>#VALUE!</v>
      </c>
      <c r="V30" t="e">
        <f>AND(AprendizajeColaborativo_P1!#REF!,"AAAAAHru6xU=")</f>
        <v>#REF!</v>
      </c>
      <c r="W30" t="e">
        <f>AND(AprendizajeColaborativo_P1!B36,"AAAAAHru6xY=")</f>
        <v>#VALUE!</v>
      </c>
      <c r="X30" t="e">
        <f>AND(AprendizajeColaborativo_P1!C36,"AAAAAHru6xc=")</f>
        <v>#VALUE!</v>
      </c>
      <c r="Y30" t="e">
        <f>AND(AprendizajeColaborativo_P1!D36,"AAAAAHru6xg=")</f>
        <v>#VALUE!</v>
      </c>
      <c r="Z30" t="e">
        <f>AND(AprendizajeColaborativo_P1!#REF!,"AAAAAHru6xk=")</f>
        <v>#REF!</v>
      </c>
      <c r="AA30" t="e">
        <f>AND(AprendizajeColaborativo_P1!E36,"AAAAAHru6xo=")</f>
        <v>#VALUE!</v>
      </c>
      <c r="AB30" t="e">
        <f>AND(AprendizajeColaborativo_P1!F36,"AAAAAHru6xs=")</f>
        <v>#VALUE!</v>
      </c>
      <c r="AC30">
        <f>IF(AprendizajeColaborativo_P1!37:37,"AAAAAHru6xw=",0)</f>
        <v>0</v>
      </c>
      <c r="AD30" t="e">
        <f>AND(AprendizajeColaborativo_P1!A37,"AAAAAHru6x0=")</f>
        <v>#VALUE!</v>
      </c>
      <c r="AE30" t="e">
        <f>AND(AprendizajeColaborativo_P1!#REF!,"AAAAAHru6x4=")</f>
        <v>#REF!</v>
      </c>
      <c r="AF30" t="e">
        <f>AND(AprendizajeColaborativo_P1!B37,"AAAAAHru6x8=")</f>
        <v>#VALUE!</v>
      </c>
      <c r="AG30" t="e">
        <f>AND(AprendizajeColaborativo_P1!C37,"AAAAAHru6yA=")</f>
        <v>#VALUE!</v>
      </c>
      <c r="AH30" t="e">
        <f>AND(AprendizajeColaborativo_P1!D37,"AAAAAHru6yE=")</f>
        <v>#VALUE!</v>
      </c>
      <c r="AI30" t="e">
        <f>AND(AprendizajeColaborativo_P1!#REF!,"AAAAAHru6yI=")</f>
        <v>#REF!</v>
      </c>
      <c r="AJ30" t="e">
        <f>AND(AprendizajeColaborativo_P1!E37,"AAAAAHru6yM=")</f>
        <v>#VALUE!</v>
      </c>
      <c r="AK30" t="e">
        <f>AND(AprendizajeColaborativo_P1!F37,"AAAAAHru6yQ=")</f>
        <v>#VALUE!</v>
      </c>
      <c r="AL30">
        <f>IF(AprendizajeColaborativo_P1!38:38,"AAAAAHru6yU=",0)</f>
        <v>0</v>
      </c>
      <c r="AM30" t="e">
        <f>AND(AprendizajeColaborativo_P1!A38,"AAAAAHru6yY=")</f>
        <v>#VALUE!</v>
      </c>
      <c r="AN30" t="e">
        <f>AND(AprendizajeColaborativo_P1!#REF!,"AAAAAHru6yc=")</f>
        <v>#REF!</v>
      </c>
      <c r="AO30" t="e">
        <f>AND(AprendizajeColaborativo_P1!B38,"AAAAAHru6yg=")</f>
        <v>#VALUE!</v>
      </c>
      <c r="AP30" t="e">
        <f>AND(AprendizajeColaborativo_P1!C38,"AAAAAHru6yk=")</f>
        <v>#VALUE!</v>
      </c>
      <c r="AQ30" t="e">
        <f>AND(AprendizajeColaborativo_P1!D38,"AAAAAHru6yo=")</f>
        <v>#VALUE!</v>
      </c>
      <c r="AR30" t="e">
        <f>AND(AprendizajeColaborativo_P1!#REF!,"AAAAAHru6ys=")</f>
        <v>#REF!</v>
      </c>
      <c r="AS30" t="e">
        <f>AND(AprendizajeColaborativo_P1!E38,"AAAAAHru6yw=")</f>
        <v>#VALUE!</v>
      </c>
      <c r="AT30" t="e">
        <f>AND(AprendizajeColaborativo_P1!F38,"AAAAAHru6y0=")</f>
        <v>#VALUE!</v>
      </c>
      <c r="AU30">
        <f>IF(AprendizajeColaborativo_P1!39:39,"AAAAAHru6y4=",0)</f>
        <v>0</v>
      </c>
      <c r="AV30" t="e">
        <f>AND(AprendizajeColaborativo_P1!A39,"AAAAAHru6y8=")</f>
        <v>#VALUE!</v>
      </c>
      <c r="AW30" t="e">
        <f>AND(AprendizajeColaborativo_P1!#REF!,"AAAAAHru6zA=")</f>
        <v>#REF!</v>
      </c>
      <c r="AX30" t="e">
        <f>AND(AprendizajeColaborativo_P1!B39,"AAAAAHru6zE=")</f>
        <v>#VALUE!</v>
      </c>
      <c r="AY30" t="e">
        <f>AND(AprendizajeColaborativo_P1!C39,"AAAAAHru6zI=")</f>
        <v>#VALUE!</v>
      </c>
      <c r="AZ30" t="e">
        <f>AND(AprendizajeColaborativo_P1!D39,"AAAAAHru6zM=")</f>
        <v>#VALUE!</v>
      </c>
      <c r="BA30" t="e">
        <f>AND(AprendizajeColaborativo_P1!#REF!,"AAAAAHru6zQ=")</f>
        <v>#REF!</v>
      </c>
      <c r="BB30" t="e">
        <f>AND(AprendizajeColaborativo_P1!E39,"AAAAAHru6zU=")</f>
        <v>#VALUE!</v>
      </c>
      <c r="BC30" t="e">
        <f>AND(AprendizajeColaborativo_P1!F39,"AAAAAHru6zY=")</f>
        <v>#VALUE!</v>
      </c>
      <c r="BD30">
        <f>IF(AprendizajeColaborativo_P1!40:40,"AAAAAHru6zc=",0)</f>
        <v>0</v>
      </c>
      <c r="BE30" t="e">
        <f>AND(AprendizajeColaborativo_P1!A40,"AAAAAHru6zg=")</f>
        <v>#VALUE!</v>
      </c>
      <c r="BF30" t="e">
        <f>AND(AprendizajeColaborativo_P1!#REF!,"AAAAAHru6zk=")</f>
        <v>#REF!</v>
      </c>
      <c r="BG30" t="e">
        <f>AND(AprendizajeColaborativo_P1!B40,"AAAAAHru6zo=")</f>
        <v>#VALUE!</v>
      </c>
      <c r="BH30" t="e">
        <f>AND(AprendizajeColaborativo_P1!C40,"AAAAAHru6zs=")</f>
        <v>#VALUE!</v>
      </c>
      <c r="BI30" t="e">
        <f>AND(AprendizajeColaborativo_P1!D40,"AAAAAHru6zw=")</f>
        <v>#VALUE!</v>
      </c>
      <c r="BJ30" t="e">
        <f>AND(AprendizajeColaborativo_P1!#REF!,"AAAAAHru6z0=")</f>
        <v>#REF!</v>
      </c>
      <c r="BK30" t="e">
        <f>AND(AprendizajeColaborativo_P1!E40,"AAAAAHru6z4=")</f>
        <v>#VALUE!</v>
      </c>
      <c r="BL30" t="e">
        <f>AND(AprendizajeColaborativo_P1!F40,"AAAAAHru6z8=")</f>
        <v>#VALUE!</v>
      </c>
      <c r="BM30">
        <f>IF(AprendizajeColaborativo_P1!41:41,"AAAAAHru60A=",0)</f>
        <v>0</v>
      </c>
      <c r="BN30" t="e">
        <f>AND(AprendizajeColaborativo_P1!A41,"AAAAAHru60E=")</f>
        <v>#VALUE!</v>
      </c>
      <c r="BO30" t="e">
        <f>AND(AprendizajeColaborativo_P1!#REF!,"AAAAAHru60I=")</f>
        <v>#REF!</v>
      </c>
      <c r="BP30" t="e">
        <f>AND(AprendizajeColaborativo_P1!B41,"AAAAAHru60M=")</f>
        <v>#VALUE!</v>
      </c>
      <c r="BQ30" t="e">
        <f>AND(AprendizajeColaborativo_P1!C41,"AAAAAHru60Q=")</f>
        <v>#VALUE!</v>
      </c>
      <c r="BR30" t="e">
        <f>AND(AprendizajeColaborativo_P1!D41,"AAAAAHru60U=")</f>
        <v>#VALUE!</v>
      </c>
      <c r="BS30" t="e">
        <f>AND(AprendizajeColaborativo_P1!#REF!,"AAAAAHru60Y=")</f>
        <v>#REF!</v>
      </c>
      <c r="BT30" t="e">
        <f>AND(AprendizajeColaborativo_P1!E41,"AAAAAHru60c=")</f>
        <v>#VALUE!</v>
      </c>
      <c r="BU30" t="e">
        <f>AND(AprendizajeColaborativo_P1!F41,"AAAAAHru60g=")</f>
        <v>#VALUE!</v>
      </c>
      <c r="BV30">
        <f>IF(AprendizajeColaborativo_P1!42:42,"AAAAAHru60k=",0)</f>
        <v>0</v>
      </c>
      <c r="BW30" t="e">
        <f>AND(AprendizajeColaborativo_P1!A42,"AAAAAHru60o=")</f>
        <v>#VALUE!</v>
      </c>
      <c r="BX30" t="e">
        <f>AND(AprendizajeColaborativo_P1!#REF!,"AAAAAHru60s=")</f>
        <v>#REF!</v>
      </c>
      <c r="BY30" t="e">
        <f>AND(AprendizajeColaborativo_P1!B42,"AAAAAHru60w=")</f>
        <v>#VALUE!</v>
      </c>
      <c r="BZ30" t="e">
        <f>AND(AprendizajeColaborativo_P1!C42,"AAAAAHru600=")</f>
        <v>#VALUE!</v>
      </c>
      <c r="CA30" t="e">
        <f>AND(AprendizajeColaborativo_P1!D42,"AAAAAHru604=")</f>
        <v>#VALUE!</v>
      </c>
      <c r="CB30" t="e">
        <f>AND(AprendizajeColaborativo_P1!#REF!,"AAAAAHru608=")</f>
        <v>#REF!</v>
      </c>
      <c r="CC30" t="e">
        <f>AND(AprendizajeColaborativo_P1!E42,"AAAAAHru61A=")</f>
        <v>#VALUE!</v>
      </c>
      <c r="CD30" t="e">
        <f>AND(AprendizajeColaborativo_P1!F42,"AAAAAHru61E=")</f>
        <v>#VALUE!</v>
      </c>
      <c r="CE30">
        <f>IF(AprendizajeColaborativo_P1!43:43,"AAAAAHru61I=",0)</f>
        <v>0</v>
      </c>
      <c r="CF30" t="e">
        <f>AND(AprendizajeColaborativo_P1!A43,"AAAAAHru61M=")</f>
        <v>#VALUE!</v>
      </c>
      <c r="CG30" t="e">
        <f>AND(AprendizajeColaborativo_P1!#REF!,"AAAAAHru61Q=")</f>
        <v>#REF!</v>
      </c>
      <c r="CH30" t="e">
        <f>AND(AprendizajeColaborativo_P1!B43,"AAAAAHru61U=")</f>
        <v>#VALUE!</v>
      </c>
      <c r="CI30" t="e">
        <f>AND(AprendizajeColaborativo_P1!C43,"AAAAAHru61Y=")</f>
        <v>#VALUE!</v>
      </c>
      <c r="CJ30" t="e">
        <f>AND(AprendizajeColaborativo_P1!D43,"AAAAAHru61c=")</f>
        <v>#VALUE!</v>
      </c>
      <c r="CK30" t="e">
        <f>AND(AprendizajeColaborativo_P1!#REF!,"AAAAAHru61g=")</f>
        <v>#REF!</v>
      </c>
      <c r="CL30" t="e">
        <f>AND(AprendizajeColaborativo_P1!E43,"AAAAAHru61k=")</f>
        <v>#VALUE!</v>
      </c>
      <c r="CM30" t="e">
        <f>AND(AprendizajeColaborativo_P1!F43,"AAAAAHru61o=")</f>
        <v>#VALUE!</v>
      </c>
      <c r="CN30">
        <f>IF(AprendizajeColaborativo_P1!44:44,"AAAAAHru61s=",0)</f>
        <v>0</v>
      </c>
      <c r="CO30" t="e">
        <f>AND(AprendizajeColaborativo_P1!A44,"AAAAAHru61w=")</f>
        <v>#VALUE!</v>
      </c>
      <c r="CP30" t="e">
        <f>AND(AprendizajeColaborativo_P1!#REF!,"AAAAAHru610=")</f>
        <v>#REF!</v>
      </c>
      <c r="CQ30" t="e">
        <f>AND(AprendizajeColaborativo_P1!B44,"AAAAAHru614=")</f>
        <v>#VALUE!</v>
      </c>
      <c r="CR30" t="e">
        <f>AND(AprendizajeColaborativo_P1!C44,"AAAAAHru618=")</f>
        <v>#VALUE!</v>
      </c>
      <c r="CS30" t="e">
        <f>AND(AprendizajeColaborativo_P1!D44,"AAAAAHru62A=")</f>
        <v>#VALUE!</v>
      </c>
      <c r="CT30" t="e">
        <f>AND(AprendizajeColaborativo_P1!#REF!,"AAAAAHru62E=")</f>
        <v>#REF!</v>
      </c>
      <c r="CU30" t="e">
        <f>AND(AprendizajeColaborativo_P1!E44,"AAAAAHru62I=")</f>
        <v>#VALUE!</v>
      </c>
      <c r="CV30" t="e">
        <f>AND(AprendizajeColaborativo_P1!F44,"AAAAAHru62M=")</f>
        <v>#VALUE!</v>
      </c>
      <c r="CW30">
        <f>IF(AprendizajeColaborativo_P1!45:45,"AAAAAHru62Q=",0)</f>
        <v>0</v>
      </c>
      <c r="CX30" t="e">
        <f>AND(AprendizajeColaborativo_P1!A45,"AAAAAHru62U=")</f>
        <v>#VALUE!</v>
      </c>
      <c r="CY30" t="e">
        <f>AND(AprendizajeColaborativo_P1!#REF!,"AAAAAHru62Y=")</f>
        <v>#REF!</v>
      </c>
      <c r="CZ30" t="e">
        <f>AND(AprendizajeColaborativo_P1!B45,"AAAAAHru62c=")</f>
        <v>#VALUE!</v>
      </c>
      <c r="DA30" t="e">
        <f>AND(AprendizajeColaborativo_P1!C45,"AAAAAHru62g=")</f>
        <v>#VALUE!</v>
      </c>
      <c r="DB30" t="e">
        <f>AND(AprendizajeColaborativo_P1!D45,"AAAAAHru62k=")</f>
        <v>#VALUE!</v>
      </c>
      <c r="DC30" t="e">
        <f>AND(AprendizajeColaborativo_P1!#REF!,"AAAAAHru62o=")</f>
        <v>#REF!</v>
      </c>
      <c r="DD30" t="e">
        <f>AND(AprendizajeColaborativo_P1!E45,"AAAAAHru62s=")</f>
        <v>#VALUE!</v>
      </c>
      <c r="DE30" t="e">
        <f>AND(AprendizajeColaborativo_P1!F45,"AAAAAHru62w=")</f>
        <v>#VALUE!</v>
      </c>
      <c r="DF30">
        <f>IF(AprendizajeColaborativo_P1!46:46,"AAAAAHru620=",0)</f>
        <v>0</v>
      </c>
      <c r="DG30" t="e">
        <f>AND(AprendizajeColaborativo_P1!A46,"AAAAAHru624=")</f>
        <v>#VALUE!</v>
      </c>
      <c r="DH30" t="e">
        <f>AND(AprendizajeColaborativo_P1!#REF!,"AAAAAHru628=")</f>
        <v>#REF!</v>
      </c>
      <c r="DI30" t="e">
        <f>AND(AprendizajeColaborativo_P1!B46,"AAAAAHru63A=")</f>
        <v>#VALUE!</v>
      </c>
      <c r="DJ30" t="e">
        <f>AND(AprendizajeColaborativo_P1!C46,"AAAAAHru63E=")</f>
        <v>#VALUE!</v>
      </c>
      <c r="DK30" t="e">
        <f>AND(AprendizajeColaborativo_P1!D46,"AAAAAHru63I=")</f>
        <v>#VALUE!</v>
      </c>
      <c r="DL30" t="e">
        <f>AND(AprendizajeColaborativo_P1!#REF!,"AAAAAHru63M=")</f>
        <v>#REF!</v>
      </c>
      <c r="DM30" t="e">
        <f>AND(AprendizajeColaborativo_P1!E46,"AAAAAHru63Q=")</f>
        <v>#VALUE!</v>
      </c>
      <c r="DN30" t="e">
        <f>AND(AprendizajeColaborativo_P1!F46,"AAAAAHru63U=")</f>
        <v>#VALUE!</v>
      </c>
      <c r="DO30">
        <f>IF(AprendizajeColaborativo_P1!47:47,"AAAAAHru63Y=",0)</f>
        <v>0</v>
      </c>
      <c r="DP30" t="e">
        <f>AND(AprendizajeColaborativo_P1!A47,"AAAAAHru63c=")</f>
        <v>#VALUE!</v>
      </c>
      <c r="DQ30" t="e">
        <f>AND(AprendizajeColaborativo_P1!#REF!,"AAAAAHru63g=")</f>
        <v>#REF!</v>
      </c>
      <c r="DR30" t="e">
        <f>AND(AprendizajeColaborativo_P1!B47,"AAAAAHru63k=")</f>
        <v>#VALUE!</v>
      </c>
      <c r="DS30" t="e">
        <f>AND(AprendizajeColaborativo_P1!C47,"AAAAAHru63o=")</f>
        <v>#VALUE!</v>
      </c>
      <c r="DT30" t="e">
        <f>AND(AprendizajeColaborativo_P1!D47,"AAAAAHru63s=")</f>
        <v>#VALUE!</v>
      </c>
      <c r="DU30" t="e">
        <f>AND(AprendizajeColaborativo_P1!#REF!,"AAAAAHru63w=")</f>
        <v>#REF!</v>
      </c>
      <c r="DV30" t="e">
        <f>AND(AprendizajeColaborativo_P1!E47,"AAAAAHru630=")</f>
        <v>#VALUE!</v>
      </c>
      <c r="DW30" t="e">
        <f>AND(AprendizajeColaborativo_P1!F47,"AAAAAHru634=")</f>
        <v>#VALUE!</v>
      </c>
      <c r="DX30">
        <f>IF(AprendizajeColaborativo_P1!48:48,"AAAAAHru638=",0)</f>
        <v>0</v>
      </c>
      <c r="DY30" t="e">
        <f>AND(AprendizajeColaborativo_P1!A48,"AAAAAHru64A=")</f>
        <v>#VALUE!</v>
      </c>
      <c r="DZ30" t="e">
        <f>AND(AprendizajeColaborativo_P1!#REF!,"AAAAAHru64E=")</f>
        <v>#REF!</v>
      </c>
      <c r="EA30" t="e">
        <f>AND(AprendizajeColaborativo_P1!B48,"AAAAAHru64I=")</f>
        <v>#VALUE!</v>
      </c>
      <c r="EB30" t="e">
        <f>AND(AprendizajeColaborativo_P1!C48,"AAAAAHru64M=")</f>
        <v>#VALUE!</v>
      </c>
      <c r="EC30" t="e">
        <f>AND(AprendizajeColaborativo_P1!D48,"AAAAAHru64Q=")</f>
        <v>#VALUE!</v>
      </c>
      <c r="ED30" t="e">
        <f>AND(AprendizajeColaborativo_P1!#REF!,"AAAAAHru64U=")</f>
        <v>#REF!</v>
      </c>
      <c r="EE30" t="e">
        <f>AND(AprendizajeColaborativo_P1!E48,"AAAAAHru64Y=")</f>
        <v>#VALUE!</v>
      </c>
      <c r="EF30" t="e">
        <f>AND(AprendizajeColaborativo_P1!F48,"AAAAAHru64c=")</f>
        <v>#VALUE!</v>
      </c>
      <c r="EG30">
        <f>IF(AprendizajeColaborativo_P1!A:A,"AAAAAHru64g=",0)</f>
        <v>0</v>
      </c>
      <c r="EH30" t="e">
        <f>IF(AprendizajeColaborativo_P1!#REF!,"AAAAAHru64k=",0)</f>
        <v>#REF!</v>
      </c>
      <c r="EI30" t="e">
        <f>IF(AprendizajeColaborativo_P1!B:B,"AAAAAHru64o=",0)</f>
        <v>#VALUE!</v>
      </c>
      <c r="EJ30" t="e">
        <f>IF(AprendizajeColaborativo_P1!C:C,"AAAAAHru64s=",0)</f>
        <v>#VALUE!</v>
      </c>
      <c r="EK30" t="e">
        <f>IF(AprendizajeColaborativo_P1!D:D,"AAAAAHru64w=",0)</f>
        <v>#VALUE!</v>
      </c>
      <c r="EL30" t="e">
        <f>IF(AprendizajeColaborativo_P1!E:E,"AAAAAHru640=",0)</f>
        <v>#VALUE!</v>
      </c>
      <c r="EM30" t="e">
        <f>IF(AprendizajeColaborativo_P1!F:F,"AAAAAHru644=",0)</f>
        <v>#VALUE!</v>
      </c>
      <c r="EN30">
        <f>IF(AprendizajeColaborativo_P1!G:G,"AAAAAHru648=",0)</f>
        <v>0</v>
      </c>
      <c r="EO30">
        <f>IF(AprendizajeColaborativo_P1!H:H,"AAAAAHru65A=",0)</f>
        <v>0</v>
      </c>
      <c r="EP30" t="e">
        <f>IF(AprendizajeColaborativo_P1!#REF!,"AAAAAHru65E=",0)</f>
        <v>#REF!</v>
      </c>
      <c r="EQ30">
        <f>IF(AprendizajeColaborativo_P1!I:I,"AAAAAHru65I=",0)</f>
        <v>0</v>
      </c>
      <c r="ER30">
        <f>IF(AprendizajeColaborativo_P1!J:J,"AAAAAHru65M=",0)</f>
        <v>0</v>
      </c>
      <c r="ES30">
        <f>IF(AprendizajeColaborativo_P1!K:K,"AAAAAHru65Q=",0)</f>
        <v>0</v>
      </c>
      <c r="ET30" t="e">
        <f>IF(#REF!,"AAAAAHru65U=",0)</f>
        <v>#REF!</v>
      </c>
      <c r="EU30" t="e">
        <f>AND(#REF!,"AAAAAHru65Y=")</f>
        <v>#REF!</v>
      </c>
      <c r="EV30" t="e">
        <f>AND(#REF!,"AAAAAHru65c=")</f>
        <v>#REF!</v>
      </c>
      <c r="EW30" t="e">
        <f>AND(#REF!,"AAAAAHru65g=")</f>
        <v>#REF!</v>
      </c>
      <c r="EX30" t="e">
        <f>AND(#REF!,"AAAAAHru65k=")</f>
        <v>#REF!</v>
      </c>
      <c r="EY30" t="e">
        <f>AND(#REF!,"AAAAAHru65o=")</f>
        <v>#REF!</v>
      </c>
      <c r="EZ30" t="e">
        <f>AND(#REF!,"AAAAAHru65s=")</f>
        <v>#REF!</v>
      </c>
      <c r="FA30" t="e">
        <f>AND(#REF!,"AAAAAHru65w=")</f>
        <v>#REF!</v>
      </c>
      <c r="FB30" t="e">
        <f>AND(#REF!,"AAAAAHru650=")</f>
        <v>#REF!</v>
      </c>
      <c r="FC30" t="e">
        <f>AND(#REF!,"AAAAAHru654=")</f>
        <v>#REF!</v>
      </c>
      <c r="FD30" t="e">
        <f>AND(#REF!,"AAAAAHru658=")</f>
        <v>#REF!</v>
      </c>
      <c r="FE30" t="e">
        <f>AND(#REF!,"AAAAAHru66A=")</f>
        <v>#REF!</v>
      </c>
      <c r="FF30" t="e">
        <f>AND(#REF!,"AAAAAHru66E=")</f>
        <v>#REF!</v>
      </c>
      <c r="FG30" t="e">
        <f>AND(#REF!,"AAAAAHru66I=")</f>
        <v>#REF!</v>
      </c>
      <c r="FH30" t="e">
        <f>IF(#REF!,"AAAAAHru66M=",0)</f>
        <v>#REF!</v>
      </c>
      <c r="FI30" t="e">
        <f>AND(#REF!,"AAAAAHru66Q=")</f>
        <v>#REF!</v>
      </c>
      <c r="FJ30" t="e">
        <f>AND(#REF!,"AAAAAHru66U=")</f>
        <v>#REF!</v>
      </c>
      <c r="FK30" t="e">
        <f>AND(#REF!,"AAAAAHru66Y=")</f>
        <v>#REF!</v>
      </c>
      <c r="FL30" t="e">
        <f>AND(#REF!,"AAAAAHru66c=")</f>
        <v>#REF!</v>
      </c>
      <c r="FM30" t="e">
        <f>AND(#REF!,"AAAAAHru66g=")</f>
        <v>#REF!</v>
      </c>
      <c r="FN30" t="e">
        <f>AND(#REF!,"AAAAAHru66k=")</f>
        <v>#REF!</v>
      </c>
      <c r="FO30" t="e">
        <f>AND(#REF!,"AAAAAHru66o=")</f>
        <v>#REF!</v>
      </c>
      <c r="FP30" t="e">
        <f>AND(#REF!,"AAAAAHru66s=")</f>
        <v>#REF!</v>
      </c>
      <c r="FQ30" t="e">
        <f>AND(#REF!,"AAAAAHru66w=")</f>
        <v>#REF!</v>
      </c>
      <c r="FR30" t="e">
        <f>AND(#REF!,"AAAAAHru660=")</f>
        <v>#REF!</v>
      </c>
      <c r="FS30" t="e">
        <f>AND(#REF!,"AAAAAHru664=")</f>
        <v>#REF!</v>
      </c>
      <c r="FT30" t="e">
        <f>AND(#REF!,"AAAAAHru668=")</f>
        <v>#REF!</v>
      </c>
      <c r="FU30" t="e">
        <f>AND(#REF!,"AAAAAHru67A=")</f>
        <v>#REF!</v>
      </c>
      <c r="FV30" t="e">
        <f>IF(#REF!,"AAAAAHru67E=",0)</f>
        <v>#REF!</v>
      </c>
      <c r="FW30" t="e">
        <f>AND(#REF!,"AAAAAHru67I=")</f>
        <v>#REF!</v>
      </c>
      <c r="FX30" t="e">
        <f>AND(#REF!,"AAAAAHru67M=")</f>
        <v>#REF!</v>
      </c>
      <c r="FY30" t="e">
        <f>AND(#REF!,"AAAAAHru67Q=")</f>
        <v>#REF!</v>
      </c>
      <c r="FZ30" t="e">
        <f>AND(#REF!,"AAAAAHru67U=")</f>
        <v>#REF!</v>
      </c>
      <c r="GA30" t="e">
        <f>AND(#REF!,"AAAAAHru67Y=")</f>
        <v>#REF!</v>
      </c>
      <c r="GB30" t="e">
        <f>AND(#REF!,"AAAAAHru67c=")</f>
        <v>#REF!</v>
      </c>
      <c r="GC30" t="e">
        <f>AND(#REF!,"AAAAAHru67g=")</f>
        <v>#REF!</v>
      </c>
      <c r="GD30" t="e">
        <f>AND(#REF!,"AAAAAHru67k=")</f>
        <v>#REF!</v>
      </c>
      <c r="GE30" t="e">
        <f>AND(#REF!,"AAAAAHru67o=")</f>
        <v>#REF!</v>
      </c>
      <c r="GF30" t="e">
        <f>AND(#REF!,"AAAAAHru67s=")</f>
        <v>#REF!</v>
      </c>
      <c r="GG30" t="e">
        <f>AND(#REF!,"AAAAAHru67w=")</f>
        <v>#REF!</v>
      </c>
      <c r="GH30" t="e">
        <f>AND(#REF!,"AAAAAHru670=")</f>
        <v>#REF!</v>
      </c>
      <c r="GI30" t="e">
        <f>AND(#REF!,"AAAAAHru674=")</f>
        <v>#REF!</v>
      </c>
      <c r="GJ30" t="e">
        <f>IF(#REF!,"AAAAAHru678=",0)</f>
        <v>#REF!</v>
      </c>
      <c r="GK30" t="e">
        <f>AND(#REF!,"AAAAAHru68A=")</f>
        <v>#REF!</v>
      </c>
      <c r="GL30" t="e">
        <f>AND(#REF!,"AAAAAHru68E=")</f>
        <v>#REF!</v>
      </c>
      <c r="GM30" t="e">
        <f>AND(#REF!,"AAAAAHru68I=")</f>
        <v>#REF!</v>
      </c>
      <c r="GN30" t="e">
        <f>AND(#REF!,"AAAAAHru68M=")</f>
        <v>#REF!</v>
      </c>
      <c r="GO30" t="e">
        <f>AND(#REF!,"AAAAAHru68Q=")</f>
        <v>#REF!</v>
      </c>
      <c r="GP30" t="e">
        <f>AND(#REF!,"AAAAAHru68U=")</f>
        <v>#REF!</v>
      </c>
      <c r="GQ30" t="e">
        <f>AND(#REF!,"AAAAAHru68Y=")</f>
        <v>#REF!</v>
      </c>
      <c r="GR30" t="e">
        <f>AND(#REF!,"AAAAAHru68c=")</f>
        <v>#REF!</v>
      </c>
      <c r="GS30" t="e">
        <f>AND(#REF!,"AAAAAHru68g=")</f>
        <v>#REF!</v>
      </c>
      <c r="GT30" t="e">
        <f>AND(#REF!,"AAAAAHru68k=")</f>
        <v>#REF!</v>
      </c>
      <c r="GU30" t="e">
        <f>AND(#REF!,"AAAAAHru68o=")</f>
        <v>#REF!</v>
      </c>
      <c r="GV30" t="e">
        <f>AND(#REF!,"AAAAAHru68s=")</f>
        <v>#REF!</v>
      </c>
      <c r="GW30" t="e">
        <f>AND(#REF!,"AAAAAHru68w=")</f>
        <v>#REF!</v>
      </c>
      <c r="GX30" t="e">
        <f>IF(#REF!,"AAAAAHru680=",0)</f>
        <v>#REF!</v>
      </c>
      <c r="GY30" t="e">
        <f>AND(#REF!,"AAAAAHru684=")</f>
        <v>#REF!</v>
      </c>
      <c r="GZ30" t="e">
        <f>AND(#REF!,"AAAAAHru688=")</f>
        <v>#REF!</v>
      </c>
      <c r="HA30" t="e">
        <f>AND(#REF!,"AAAAAHru69A=")</f>
        <v>#REF!</v>
      </c>
      <c r="HB30" t="e">
        <f>AND(#REF!,"AAAAAHru69E=")</f>
        <v>#REF!</v>
      </c>
      <c r="HC30" t="e">
        <f>AND(#REF!,"AAAAAHru69I=")</f>
        <v>#REF!</v>
      </c>
      <c r="HD30" t="e">
        <f>AND(#REF!,"AAAAAHru69M=")</f>
        <v>#REF!</v>
      </c>
      <c r="HE30" t="e">
        <f>AND(#REF!,"AAAAAHru69Q=")</f>
        <v>#REF!</v>
      </c>
      <c r="HF30" t="e">
        <f>AND(#REF!,"AAAAAHru69U=")</f>
        <v>#REF!</v>
      </c>
      <c r="HG30" t="e">
        <f>AND(#REF!,"AAAAAHru69Y=")</f>
        <v>#REF!</v>
      </c>
      <c r="HH30" t="e">
        <f>AND(#REF!,"AAAAAHru69c=")</f>
        <v>#REF!</v>
      </c>
      <c r="HI30" t="e">
        <f>AND(#REF!,"AAAAAHru69g=")</f>
        <v>#REF!</v>
      </c>
      <c r="HJ30" t="e">
        <f>AND(#REF!,"AAAAAHru69k=")</f>
        <v>#REF!</v>
      </c>
      <c r="HK30" t="e">
        <f>AND(#REF!,"AAAAAHru69o=")</f>
        <v>#REF!</v>
      </c>
      <c r="HL30" t="e">
        <f>IF(#REF!,"AAAAAHru69s=",0)</f>
        <v>#REF!</v>
      </c>
      <c r="HM30" t="e">
        <f>AND(#REF!,"AAAAAHru69w=")</f>
        <v>#REF!</v>
      </c>
      <c r="HN30" t="e">
        <f>AND(#REF!,"AAAAAHru690=")</f>
        <v>#REF!</v>
      </c>
      <c r="HO30" t="e">
        <f>AND(#REF!,"AAAAAHru694=")</f>
        <v>#REF!</v>
      </c>
      <c r="HP30" t="e">
        <f>AND(#REF!,"AAAAAHru698=")</f>
        <v>#REF!</v>
      </c>
      <c r="HQ30" t="e">
        <f>AND(#REF!,"AAAAAHru6+A=")</f>
        <v>#REF!</v>
      </c>
      <c r="HR30" t="e">
        <f>AND(#REF!,"AAAAAHru6+E=")</f>
        <v>#REF!</v>
      </c>
      <c r="HS30" t="e">
        <f>AND(#REF!,"AAAAAHru6+I=")</f>
        <v>#REF!</v>
      </c>
      <c r="HT30" t="e">
        <f>AND(#REF!,"AAAAAHru6+M=")</f>
        <v>#REF!</v>
      </c>
      <c r="HU30" t="e">
        <f>AND(#REF!,"AAAAAHru6+Q=")</f>
        <v>#REF!</v>
      </c>
      <c r="HV30" t="e">
        <f>AND(#REF!,"AAAAAHru6+U=")</f>
        <v>#REF!</v>
      </c>
      <c r="HW30" t="e">
        <f>AND(#REF!,"AAAAAHru6+Y=")</f>
        <v>#REF!</v>
      </c>
      <c r="HX30" t="e">
        <f>AND(#REF!,"AAAAAHru6+c=")</f>
        <v>#REF!</v>
      </c>
      <c r="HY30" t="e">
        <f>AND(#REF!,"AAAAAHru6+g=")</f>
        <v>#REF!</v>
      </c>
      <c r="HZ30" t="e">
        <f>IF(#REF!,"AAAAAHru6+k=",0)</f>
        <v>#REF!</v>
      </c>
      <c r="IA30" t="e">
        <f>AND(#REF!,"AAAAAHru6+o=")</f>
        <v>#REF!</v>
      </c>
      <c r="IB30" t="e">
        <f>AND(#REF!,"AAAAAHru6+s=")</f>
        <v>#REF!</v>
      </c>
      <c r="IC30" t="e">
        <f>AND(#REF!,"AAAAAHru6+w=")</f>
        <v>#REF!</v>
      </c>
      <c r="ID30" t="e">
        <f>AND(#REF!,"AAAAAHru6+0=")</f>
        <v>#REF!</v>
      </c>
      <c r="IE30" t="e">
        <f>AND(#REF!,"AAAAAHru6+4=")</f>
        <v>#REF!</v>
      </c>
      <c r="IF30" t="e">
        <f>AND(#REF!,"AAAAAHru6+8=")</f>
        <v>#REF!</v>
      </c>
      <c r="IG30" t="e">
        <f>AND(#REF!,"AAAAAHru6/A=")</f>
        <v>#REF!</v>
      </c>
      <c r="IH30" t="e">
        <f>AND(#REF!,"AAAAAHru6/E=")</f>
        <v>#REF!</v>
      </c>
      <c r="II30" t="e">
        <f>AND(#REF!,"AAAAAHru6/I=")</f>
        <v>#REF!</v>
      </c>
      <c r="IJ30" t="e">
        <f>AND(#REF!,"AAAAAHru6/M=")</f>
        <v>#REF!</v>
      </c>
      <c r="IK30" t="e">
        <f>AND(#REF!,"AAAAAHru6/Q=")</f>
        <v>#REF!</v>
      </c>
      <c r="IL30" t="e">
        <f>AND(#REF!,"AAAAAHru6/U=")</f>
        <v>#REF!</v>
      </c>
      <c r="IM30" t="e">
        <f>AND(#REF!,"AAAAAHru6/Y=")</f>
        <v>#REF!</v>
      </c>
      <c r="IN30" t="e">
        <f>IF(#REF!,"AAAAAHru6/c=",0)</f>
        <v>#REF!</v>
      </c>
      <c r="IO30" t="e">
        <f>AND(#REF!,"AAAAAHru6/g=")</f>
        <v>#REF!</v>
      </c>
      <c r="IP30" t="e">
        <f>AND(#REF!,"AAAAAHru6/k=")</f>
        <v>#REF!</v>
      </c>
      <c r="IQ30" t="e">
        <f>AND(#REF!,"AAAAAHru6/o=")</f>
        <v>#REF!</v>
      </c>
      <c r="IR30" t="e">
        <f>AND(#REF!,"AAAAAHru6/s=")</f>
        <v>#REF!</v>
      </c>
      <c r="IS30" t="e">
        <f>AND(#REF!,"AAAAAHru6/w=")</f>
        <v>#REF!</v>
      </c>
      <c r="IT30" t="e">
        <f>AND(#REF!,"AAAAAHru6/0=")</f>
        <v>#REF!</v>
      </c>
      <c r="IU30" t="e">
        <f>AND(#REF!,"AAAAAHru6/4=")</f>
        <v>#REF!</v>
      </c>
      <c r="IV30" t="e">
        <f>AND(#REF!,"AAAAAHru6/8=")</f>
        <v>#REF!</v>
      </c>
    </row>
    <row r="31" spans="1:256" x14ac:dyDescent="0.2">
      <c r="A31" t="e">
        <f>AND(#REF!,"AAAAAD5+bwA=")</f>
        <v>#REF!</v>
      </c>
      <c r="B31" t="e">
        <f>AND(#REF!,"AAAAAD5+bwE=")</f>
        <v>#REF!</v>
      </c>
      <c r="C31" t="e">
        <f>AND(#REF!,"AAAAAD5+bwI=")</f>
        <v>#REF!</v>
      </c>
      <c r="D31" t="e">
        <f>AND(#REF!,"AAAAAD5+bwM=")</f>
        <v>#REF!</v>
      </c>
      <c r="E31" t="e">
        <f>AND(#REF!,"AAAAAD5+bwQ=")</f>
        <v>#REF!</v>
      </c>
      <c r="F31" t="e">
        <f>IF(#REF!,"AAAAAD5+bwU=",0)</f>
        <v>#REF!</v>
      </c>
      <c r="G31" t="e">
        <f>AND(#REF!,"AAAAAD5+bwY=")</f>
        <v>#REF!</v>
      </c>
      <c r="H31" t="e">
        <f>AND(#REF!,"AAAAAD5+bwc=")</f>
        <v>#REF!</v>
      </c>
      <c r="I31" t="e">
        <f>AND(#REF!,"AAAAAD5+bwg=")</f>
        <v>#REF!</v>
      </c>
      <c r="J31" t="e">
        <f>AND(#REF!,"AAAAAD5+bwk=")</f>
        <v>#REF!</v>
      </c>
      <c r="K31" t="e">
        <f>AND(#REF!,"AAAAAD5+bwo=")</f>
        <v>#REF!</v>
      </c>
      <c r="L31" t="e">
        <f>AND(#REF!,"AAAAAD5+bws=")</f>
        <v>#REF!</v>
      </c>
      <c r="M31" t="e">
        <f>AND(#REF!,"AAAAAD5+bww=")</f>
        <v>#REF!</v>
      </c>
      <c r="N31" t="e">
        <f>AND(#REF!,"AAAAAD5+bw0=")</f>
        <v>#REF!</v>
      </c>
      <c r="O31" t="e">
        <f>AND(#REF!,"AAAAAD5+bw4=")</f>
        <v>#REF!</v>
      </c>
      <c r="P31" t="e">
        <f>AND(#REF!,"AAAAAD5+bw8=")</f>
        <v>#REF!</v>
      </c>
      <c r="Q31" t="e">
        <f>AND(#REF!,"AAAAAD5+bxA=")</f>
        <v>#REF!</v>
      </c>
      <c r="R31" t="e">
        <f>AND(#REF!,"AAAAAD5+bxE=")</f>
        <v>#REF!</v>
      </c>
      <c r="S31" t="e">
        <f>AND(#REF!,"AAAAAD5+bxI=")</f>
        <v>#REF!</v>
      </c>
      <c r="T31" t="e">
        <f>IF(#REF!,"AAAAAD5+bxM=",0)</f>
        <v>#REF!</v>
      </c>
      <c r="U31" t="e">
        <f>AND(#REF!,"AAAAAD5+bxQ=")</f>
        <v>#REF!</v>
      </c>
      <c r="V31" t="e">
        <f>AND(#REF!,"AAAAAD5+bxU=")</f>
        <v>#REF!</v>
      </c>
      <c r="W31" t="e">
        <f>AND(#REF!,"AAAAAD5+bxY=")</f>
        <v>#REF!</v>
      </c>
      <c r="X31" t="e">
        <f>AND(#REF!,"AAAAAD5+bxc=")</f>
        <v>#REF!</v>
      </c>
      <c r="Y31" t="e">
        <f>AND(#REF!,"AAAAAD5+bxg=")</f>
        <v>#REF!</v>
      </c>
      <c r="Z31" t="e">
        <f>AND(#REF!,"AAAAAD5+bxk=")</f>
        <v>#REF!</v>
      </c>
      <c r="AA31" t="e">
        <f>AND(#REF!,"AAAAAD5+bxo=")</f>
        <v>#REF!</v>
      </c>
      <c r="AB31" t="e">
        <f>AND(#REF!,"AAAAAD5+bxs=")</f>
        <v>#REF!</v>
      </c>
      <c r="AC31" t="e">
        <f>AND(#REF!,"AAAAAD5+bxw=")</f>
        <v>#REF!</v>
      </c>
      <c r="AD31" t="e">
        <f>AND(#REF!,"AAAAAD5+bx0=")</f>
        <v>#REF!</v>
      </c>
      <c r="AE31" t="e">
        <f>AND(#REF!,"AAAAAD5+bx4=")</f>
        <v>#REF!</v>
      </c>
      <c r="AF31" t="e">
        <f>AND(#REF!,"AAAAAD5+bx8=")</f>
        <v>#REF!</v>
      </c>
      <c r="AG31" t="e">
        <f>AND(#REF!,"AAAAAD5+byA=")</f>
        <v>#REF!</v>
      </c>
      <c r="AH31" t="e">
        <f>IF(#REF!,"AAAAAD5+byE=",0)</f>
        <v>#REF!</v>
      </c>
      <c r="AI31" t="e">
        <f>AND(#REF!,"AAAAAD5+byI=")</f>
        <v>#REF!</v>
      </c>
      <c r="AJ31" t="e">
        <f>AND(#REF!,"AAAAAD5+byM=")</f>
        <v>#REF!</v>
      </c>
      <c r="AK31" t="e">
        <f>AND(#REF!,"AAAAAD5+byQ=")</f>
        <v>#REF!</v>
      </c>
      <c r="AL31" t="e">
        <f>AND(#REF!,"AAAAAD5+byU=")</f>
        <v>#REF!</v>
      </c>
      <c r="AM31" t="e">
        <f>AND(#REF!,"AAAAAD5+byY=")</f>
        <v>#REF!</v>
      </c>
      <c r="AN31" t="e">
        <f>AND(#REF!,"AAAAAD5+byc=")</f>
        <v>#REF!</v>
      </c>
      <c r="AO31" t="e">
        <f>AND(#REF!,"AAAAAD5+byg=")</f>
        <v>#REF!</v>
      </c>
      <c r="AP31" t="e">
        <f>AND(#REF!,"AAAAAD5+byk=")</f>
        <v>#REF!</v>
      </c>
      <c r="AQ31" t="e">
        <f>AND(#REF!,"AAAAAD5+byo=")</f>
        <v>#REF!</v>
      </c>
      <c r="AR31" t="e">
        <f>AND(#REF!,"AAAAAD5+bys=")</f>
        <v>#REF!</v>
      </c>
      <c r="AS31" t="e">
        <f>AND(#REF!,"AAAAAD5+byw=")</f>
        <v>#REF!</v>
      </c>
      <c r="AT31" t="e">
        <f>AND(#REF!,"AAAAAD5+by0=")</f>
        <v>#REF!</v>
      </c>
      <c r="AU31" t="e">
        <f>AND(#REF!,"AAAAAD5+by4=")</f>
        <v>#REF!</v>
      </c>
      <c r="AV31" t="e">
        <f>IF(#REF!,"AAAAAD5+by8=",0)</f>
        <v>#REF!</v>
      </c>
      <c r="AW31" t="e">
        <f>AND(#REF!,"AAAAAD5+bzA=")</f>
        <v>#REF!</v>
      </c>
      <c r="AX31" t="e">
        <f>AND(#REF!,"AAAAAD5+bzE=")</f>
        <v>#REF!</v>
      </c>
      <c r="AY31" t="e">
        <f>AND(#REF!,"AAAAAD5+bzI=")</f>
        <v>#REF!</v>
      </c>
      <c r="AZ31" t="e">
        <f>AND(#REF!,"AAAAAD5+bzM=")</f>
        <v>#REF!</v>
      </c>
      <c r="BA31" t="e">
        <f>AND(#REF!,"AAAAAD5+bzQ=")</f>
        <v>#REF!</v>
      </c>
      <c r="BB31" t="e">
        <f>AND(#REF!,"AAAAAD5+bzU=")</f>
        <v>#REF!</v>
      </c>
      <c r="BC31" t="e">
        <f>AND(#REF!,"AAAAAD5+bzY=")</f>
        <v>#REF!</v>
      </c>
      <c r="BD31" t="e">
        <f>AND(#REF!,"AAAAAD5+bzc=")</f>
        <v>#REF!</v>
      </c>
      <c r="BE31" t="e">
        <f>AND(#REF!,"AAAAAD5+bzg=")</f>
        <v>#REF!</v>
      </c>
      <c r="BF31" t="e">
        <f>AND(#REF!,"AAAAAD5+bzk=")</f>
        <v>#REF!</v>
      </c>
      <c r="BG31" t="e">
        <f>AND(#REF!,"AAAAAD5+bzo=")</f>
        <v>#REF!</v>
      </c>
      <c r="BH31" t="e">
        <f>AND(#REF!,"AAAAAD5+bzs=")</f>
        <v>#REF!</v>
      </c>
      <c r="BI31" t="e">
        <f>AND(#REF!,"AAAAAD5+bzw=")</f>
        <v>#REF!</v>
      </c>
      <c r="BJ31" t="e">
        <f>IF(#REF!,"AAAAAD5+bz0=",0)</f>
        <v>#REF!</v>
      </c>
      <c r="BK31" t="e">
        <f>AND(#REF!,"AAAAAD5+bz4=")</f>
        <v>#REF!</v>
      </c>
      <c r="BL31" t="e">
        <f>AND(#REF!,"AAAAAD5+bz8=")</f>
        <v>#REF!</v>
      </c>
      <c r="BM31" t="e">
        <f>AND(#REF!,"AAAAAD5+b0A=")</f>
        <v>#REF!</v>
      </c>
      <c r="BN31" t="e">
        <f>AND(#REF!,"AAAAAD5+b0E=")</f>
        <v>#REF!</v>
      </c>
      <c r="BO31" t="e">
        <f>AND(#REF!,"AAAAAD5+b0I=")</f>
        <v>#REF!</v>
      </c>
      <c r="BP31" t="e">
        <f>AND(#REF!,"AAAAAD5+b0M=")</f>
        <v>#REF!</v>
      </c>
      <c r="BQ31" t="e">
        <f>AND(#REF!,"AAAAAD5+b0Q=")</f>
        <v>#REF!</v>
      </c>
      <c r="BR31" t="e">
        <f>AND(#REF!,"AAAAAD5+b0U=")</f>
        <v>#REF!</v>
      </c>
      <c r="BS31" t="e">
        <f>AND(#REF!,"AAAAAD5+b0Y=")</f>
        <v>#REF!</v>
      </c>
      <c r="BT31" t="e">
        <f>AND(#REF!,"AAAAAD5+b0c=")</f>
        <v>#REF!</v>
      </c>
      <c r="BU31" t="e">
        <f>AND(#REF!,"AAAAAD5+b0g=")</f>
        <v>#REF!</v>
      </c>
      <c r="BV31" t="e">
        <f>AND(#REF!,"AAAAAD5+b0k=")</f>
        <v>#REF!</v>
      </c>
      <c r="BW31" t="e">
        <f>AND(#REF!,"AAAAAD5+b0o=")</f>
        <v>#REF!</v>
      </c>
      <c r="BX31" t="e">
        <f>IF(#REF!,"AAAAAD5+b0s=",0)</f>
        <v>#REF!</v>
      </c>
      <c r="BY31" t="e">
        <f>AND(#REF!,"AAAAAD5+b0w=")</f>
        <v>#REF!</v>
      </c>
      <c r="BZ31" t="e">
        <f>AND(#REF!,"AAAAAD5+b00=")</f>
        <v>#REF!</v>
      </c>
      <c r="CA31" t="e">
        <f>AND(#REF!,"AAAAAD5+b04=")</f>
        <v>#REF!</v>
      </c>
      <c r="CB31" t="e">
        <f>AND(#REF!,"AAAAAD5+b08=")</f>
        <v>#REF!</v>
      </c>
      <c r="CC31" t="e">
        <f>AND(#REF!,"AAAAAD5+b1A=")</f>
        <v>#REF!</v>
      </c>
      <c r="CD31" t="e">
        <f>AND(#REF!,"AAAAAD5+b1E=")</f>
        <v>#REF!</v>
      </c>
      <c r="CE31" t="e">
        <f>AND(#REF!,"AAAAAD5+b1I=")</f>
        <v>#REF!</v>
      </c>
      <c r="CF31" t="e">
        <f>AND(#REF!,"AAAAAD5+b1M=")</f>
        <v>#REF!</v>
      </c>
      <c r="CG31" t="e">
        <f>AND(#REF!,"AAAAAD5+b1Q=")</f>
        <v>#REF!</v>
      </c>
      <c r="CH31" t="e">
        <f>AND(#REF!,"AAAAAD5+b1U=")</f>
        <v>#REF!</v>
      </c>
      <c r="CI31" t="e">
        <f>AND(#REF!,"AAAAAD5+b1Y=")</f>
        <v>#REF!</v>
      </c>
      <c r="CJ31" t="e">
        <f>AND(#REF!,"AAAAAD5+b1c=")</f>
        <v>#REF!</v>
      </c>
      <c r="CK31" t="e">
        <f>AND(#REF!,"AAAAAD5+b1g=")</f>
        <v>#REF!</v>
      </c>
      <c r="CL31" t="e">
        <f>IF(#REF!,"AAAAAD5+b1k=",0)</f>
        <v>#REF!</v>
      </c>
      <c r="CM31" t="e">
        <f>AND(#REF!,"AAAAAD5+b1o=")</f>
        <v>#REF!</v>
      </c>
      <c r="CN31" t="e">
        <f>AND(#REF!,"AAAAAD5+b1s=")</f>
        <v>#REF!</v>
      </c>
      <c r="CO31" t="e">
        <f>AND(#REF!,"AAAAAD5+b1w=")</f>
        <v>#REF!</v>
      </c>
      <c r="CP31" t="e">
        <f>AND(#REF!,"AAAAAD5+b10=")</f>
        <v>#REF!</v>
      </c>
      <c r="CQ31" t="e">
        <f>AND(#REF!,"AAAAAD5+b14=")</f>
        <v>#REF!</v>
      </c>
      <c r="CR31" t="e">
        <f>AND(#REF!,"AAAAAD5+b18=")</f>
        <v>#REF!</v>
      </c>
      <c r="CS31" t="e">
        <f>AND(#REF!,"AAAAAD5+b2A=")</f>
        <v>#REF!</v>
      </c>
      <c r="CT31" t="e">
        <f>AND(#REF!,"AAAAAD5+b2E=")</f>
        <v>#REF!</v>
      </c>
      <c r="CU31" t="e">
        <f>AND(#REF!,"AAAAAD5+b2I=")</f>
        <v>#REF!</v>
      </c>
      <c r="CV31" t="e">
        <f>AND(#REF!,"AAAAAD5+b2M=")</f>
        <v>#REF!</v>
      </c>
      <c r="CW31" t="e">
        <f>AND(#REF!,"AAAAAD5+b2Q=")</f>
        <v>#REF!</v>
      </c>
      <c r="CX31" t="e">
        <f>AND(#REF!,"AAAAAD5+b2U=")</f>
        <v>#REF!</v>
      </c>
      <c r="CY31" t="e">
        <f>AND(#REF!,"AAAAAD5+b2Y=")</f>
        <v>#REF!</v>
      </c>
      <c r="CZ31" t="e">
        <f>IF(#REF!,"AAAAAD5+b2c=",0)</f>
        <v>#REF!</v>
      </c>
      <c r="DA31" t="e">
        <f>AND(#REF!,"AAAAAD5+b2g=")</f>
        <v>#REF!</v>
      </c>
      <c r="DB31" t="e">
        <f>AND(#REF!,"AAAAAD5+b2k=")</f>
        <v>#REF!</v>
      </c>
      <c r="DC31" t="e">
        <f>AND(#REF!,"AAAAAD5+b2o=")</f>
        <v>#REF!</v>
      </c>
      <c r="DD31" t="e">
        <f>AND(#REF!,"AAAAAD5+b2s=")</f>
        <v>#REF!</v>
      </c>
      <c r="DE31" t="e">
        <f>AND(#REF!,"AAAAAD5+b2w=")</f>
        <v>#REF!</v>
      </c>
      <c r="DF31" t="e">
        <f>AND(#REF!,"AAAAAD5+b20=")</f>
        <v>#REF!</v>
      </c>
      <c r="DG31" t="e">
        <f>AND(#REF!,"AAAAAD5+b24=")</f>
        <v>#REF!</v>
      </c>
      <c r="DH31" t="e">
        <f>AND(#REF!,"AAAAAD5+b28=")</f>
        <v>#REF!</v>
      </c>
      <c r="DI31" t="e">
        <f>AND(#REF!,"AAAAAD5+b3A=")</f>
        <v>#REF!</v>
      </c>
      <c r="DJ31" t="e">
        <f>AND(#REF!,"AAAAAD5+b3E=")</f>
        <v>#REF!</v>
      </c>
      <c r="DK31" t="e">
        <f>AND(#REF!,"AAAAAD5+b3I=")</f>
        <v>#REF!</v>
      </c>
      <c r="DL31" t="e">
        <f>AND(#REF!,"AAAAAD5+b3M=")</f>
        <v>#REF!</v>
      </c>
      <c r="DM31" t="e">
        <f>AND(#REF!,"AAAAAD5+b3Q=")</f>
        <v>#REF!</v>
      </c>
      <c r="DN31" t="e">
        <f>IF(#REF!,"AAAAAD5+b3U=",0)</f>
        <v>#REF!</v>
      </c>
      <c r="DO31" t="e">
        <f>AND(#REF!,"AAAAAD5+b3Y=")</f>
        <v>#REF!</v>
      </c>
      <c r="DP31" t="e">
        <f>AND(#REF!,"AAAAAD5+b3c=")</f>
        <v>#REF!</v>
      </c>
      <c r="DQ31" t="e">
        <f>AND(#REF!,"AAAAAD5+b3g=")</f>
        <v>#REF!</v>
      </c>
      <c r="DR31" t="e">
        <f>AND(#REF!,"AAAAAD5+b3k=")</f>
        <v>#REF!</v>
      </c>
      <c r="DS31" t="e">
        <f>AND(#REF!,"AAAAAD5+b3o=")</f>
        <v>#REF!</v>
      </c>
      <c r="DT31" t="e">
        <f>AND(#REF!,"AAAAAD5+b3s=")</f>
        <v>#REF!</v>
      </c>
      <c r="DU31" t="e">
        <f>AND(#REF!,"AAAAAD5+b3w=")</f>
        <v>#REF!</v>
      </c>
      <c r="DV31" t="e">
        <f>AND(#REF!,"AAAAAD5+b30=")</f>
        <v>#REF!</v>
      </c>
      <c r="DW31" t="e">
        <f>AND(#REF!,"AAAAAD5+b34=")</f>
        <v>#REF!</v>
      </c>
      <c r="DX31" t="e">
        <f>AND(#REF!,"AAAAAD5+b38=")</f>
        <v>#REF!</v>
      </c>
      <c r="DY31" t="e">
        <f>AND(#REF!,"AAAAAD5+b4A=")</f>
        <v>#REF!</v>
      </c>
      <c r="DZ31" t="e">
        <f>AND(#REF!,"AAAAAD5+b4E=")</f>
        <v>#REF!</v>
      </c>
      <c r="EA31" t="e">
        <f>AND(#REF!,"AAAAAD5+b4I=")</f>
        <v>#REF!</v>
      </c>
      <c r="EB31" t="e">
        <f>IF(#REF!,"AAAAAD5+b4M=",0)</f>
        <v>#REF!</v>
      </c>
      <c r="EC31" t="e">
        <f>AND(#REF!,"AAAAAD5+b4Q=")</f>
        <v>#REF!</v>
      </c>
      <c r="ED31" t="e">
        <f>AND(#REF!,"AAAAAD5+b4U=")</f>
        <v>#REF!</v>
      </c>
      <c r="EE31" t="e">
        <f>AND(#REF!,"AAAAAD5+b4Y=")</f>
        <v>#REF!</v>
      </c>
      <c r="EF31" t="e">
        <f>AND(#REF!,"AAAAAD5+b4c=")</f>
        <v>#REF!</v>
      </c>
      <c r="EG31" t="e">
        <f>AND(#REF!,"AAAAAD5+b4g=")</f>
        <v>#REF!</v>
      </c>
      <c r="EH31" t="e">
        <f>AND(#REF!,"AAAAAD5+b4k=")</f>
        <v>#REF!</v>
      </c>
      <c r="EI31" t="e">
        <f>AND(#REF!,"AAAAAD5+b4o=")</f>
        <v>#REF!</v>
      </c>
      <c r="EJ31" t="e">
        <f>AND(#REF!,"AAAAAD5+b4s=")</f>
        <v>#REF!</v>
      </c>
      <c r="EK31" t="e">
        <f>AND(#REF!,"AAAAAD5+b4w=")</f>
        <v>#REF!</v>
      </c>
      <c r="EL31" t="e">
        <f>AND(#REF!,"AAAAAD5+b40=")</f>
        <v>#REF!</v>
      </c>
      <c r="EM31" t="e">
        <f>AND(#REF!,"AAAAAD5+b44=")</f>
        <v>#REF!</v>
      </c>
      <c r="EN31" t="e">
        <f>AND(#REF!,"AAAAAD5+b48=")</f>
        <v>#REF!</v>
      </c>
      <c r="EO31" t="e">
        <f>AND(#REF!,"AAAAAD5+b5A=")</f>
        <v>#REF!</v>
      </c>
      <c r="EP31" t="e">
        <f>IF(#REF!,"AAAAAD5+b5E=",0)</f>
        <v>#REF!</v>
      </c>
      <c r="EQ31" t="e">
        <f>AND(#REF!,"AAAAAD5+b5I=")</f>
        <v>#REF!</v>
      </c>
      <c r="ER31" t="e">
        <f>AND(#REF!,"AAAAAD5+b5M=")</f>
        <v>#REF!</v>
      </c>
      <c r="ES31" t="e">
        <f>AND(#REF!,"AAAAAD5+b5Q=")</f>
        <v>#REF!</v>
      </c>
      <c r="ET31" t="e">
        <f>AND(#REF!,"AAAAAD5+b5U=")</f>
        <v>#REF!</v>
      </c>
      <c r="EU31" t="e">
        <f>AND(#REF!,"AAAAAD5+b5Y=")</f>
        <v>#REF!</v>
      </c>
      <c r="EV31" t="e">
        <f>AND(#REF!,"AAAAAD5+b5c=")</f>
        <v>#REF!</v>
      </c>
      <c r="EW31" t="e">
        <f>AND(#REF!,"AAAAAD5+b5g=")</f>
        <v>#REF!</v>
      </c>
      <c r="EX31" t="e">
        <f>AND(#REF!,"AAAAAD5+b5k=")</f>
        <v>#REF!</v>
      </c>
      <c r="EY31" t="e">
        <f>AND(#REF!,"AAAAAD5+b5o=")</f>
        <v>#REF!</v>
      </c>
      <c r="EZ31" t="e">
        <f>AND(#REF!,"AAAAAD5+b5s=")</f>
        <v>#REF!</v>
      </c>
      <c r="FA31" t="e">
        <f>AND(#REF!,"AAAAAD5+b5w=")</f>
        <v>#REF!</v>
      </c>
      <c r="FB31" t="e">
        <f>AND(#REF!,"AAAAAD5+b50=")</f>
        <v>#REF!</v>
      </c>
      <c r="FC31" t="e">
        <f>AND(#REF!,"AAAAAD5+b54=")</f>
        <v>#REF!</v>
      </c>
      <c r="FD31" t="e">
        <f>IF(#REF!,"AAAAAD5+b58=",0)</f>
        <v>#REF!</v>
      </c>
      <c r="FE31" t="e">
        <f>AND(#REF!,"AAAAAD5+b6A=")</f>
        <v>#REF!</v>
      </c>
      <c r="FF31" t="e">
        <f>AND(#REF!,"AAAAAD5+b6E=")</f>
        <v>#REF!</v>
      </c>
      <c r="FG31" t="e">
        <f>AND(#REF!,"AAAAAD5+b6I=")</f>
        <v>#REF!</v>
      </c>
      <c r="FH31" t="e">
        <f>AND(#REF!,"AAAAAD5+b6M=")</f>
        <v>#REF!</v>
      </c>
      <c r="FI31" t="e">
        <f>AND(#REF!,"AAAAAD5+b6Q=")</f>
        <v>#REF!</v>
      </c>
      <c r="FJ31" t="e">
        <f>AND(#REF!,"AAAAAD5+b6U=")</f>
        <v>#REF!</v>
      </c>
      <c r="FK31" t="e">
        <f>AND(#REF!,"AAAAAD5+b6Y=")</f>
        <v>#REF!</v>
      </c>
      <c r="FL31" t="e">
        <f>AND(#REF!,"AAAAAD5+b6c=")</f>
        <v>#REF!</v>
      </c>
      <c r="FM31" t="e">
        <f>AND(#REF!,"AAAAAD5+b6g=")</f>
        <v>#REF!</v>
      </c>
      <c r="FN31" t="e">
        <f>AND(#REF!,"AAAAAD5+b6k=")</f>
        <v>#REF!</v>
      </c>
      <c r="FO31" t="e">
        <f>AND(#REF!,"AAAAAD5+b6o=")</f>
        <v>#REF!</v>
      </c>
      <c r="FP31" t="e">
        <f>AND(#REF!,"AAAAAD5+b6s=")</f>
        <v>#REF!</v>
      </c>
      <c r="FQ31" t="e">
        <f>AND(#REF!,"AAAAAD5+b6w=")</f>
        <v>#REF!</v>
      </c>
      <c r="FR31" t="e">
        <f>IF(#REF!,"AAAAAD5+b60=",0)</f>
        <v>#REF!</v>
      </c>
      <c r="FS31" t="e">
        <f>AND(#REF!,"AAAAAD5+b64=")</f>
        <v>#REF!</v>
      </c>
      <c r="FT31" t="e">
        <f>AND(#REF!,"AAAAAD5+b68=")</f>
        <v>#REF!</v>
      </c>
      <c r="FU31" t="e">
        <f>AND(#REF!,"AAAAAD5+b7A=")</f>
        <v>#REF!</v>
      </c>
      <c r="FV31" t="e">
        <f>AND(#REF!,"AAAAAD5+b7E=")</f>
        <v>#REF!</v>
      </c>
      <c r="FW31" t="e">
        <f>AND(#REF!,"AAAAAD5+b7I=")</f>
        <v>#REF!</v>
      </c>
      <c r="FX31" t="e">
        <f>AND(#REF!,"AAAAAD5+b7M=")</f>
        <v>#REF!</v>
      </c>
      <c r="FY31" t="e">
        <f>AND(#REF!,"AAAAAD5+b7Q=")</f>
        <v>#REF!</v>
      </c>
      <c r="FZ31" t="e">
        <f>AND(#REF!,"AAAAAD5+b7U=")</f>
        <v>#REF!</v>
      </c>
      <c r="GA31" t="e">
        <f>AND(#REF!,"AAAAAD5+b7Y=")</f>
        <v>#REF!</v>
      </c>
      <c r="GB31" t="e">
        <f>AND(#REF!,"AAAAAD5+b7c=")</f>
        <v>#REF!</v>
      </c>
      <c r="GC31" t="e">
        <f>AND(#REF!,"AAAAAD5+b7g=")</f>
        <v>#REF!</v>
      </c>
      <c r="GD31" t="e">
        <f>AND(#REF!,"AAAAAD5+b7k=")</f>
        <v>#REF!</v>
      </c>
      <c r="GE31" t="e">
        <f>AND(#REF!,"AAAAAD5+b7o=")</f>
        <v>#REF!</v>
      </c>
      <c r="GF31" t="e">
        <f>IF(#REF!,"AAAAAD5+b7s=",0)</f>
        <v>#REF!</v>
      </c>
      <c r="GG31" t="e">
        <f>AND(#REF!,"AAAAAD5+b7w=")</f>
        <v>#REF!</v>
      </c>
      <c r="GH31" t="e">
        <f>AND(#REF!,"AAAAAD5+b70=")</f>
        <v>#REF!</v>
      </c>
      <c r="GI31" t="e">
        <f>AND(#REF!,"AAAAAD5+b74=")</f>
        <v>#REF!</v>
      </c>
      <c r="GJ31" t="e">
        <f>AND(#REF!,"AAAAAD5+b78=")</f>
        <v>#REF!</v>
      </c>
      <c r="GK31" t="e">
        <f>AND(#REF!,"AAAAAD5+b8A=")</f>
        <v>#REF!</v>
      </c>
      <c r="GL31" t="e">
        <f>AND(#REF!,"AAAAAD5+b8E=")</f>
        <v>#REF!</v>
      </c>
      <c r="GM31" t="e">
        <f>AND(#REF!,"AAAAAD5+b8I=")</f>
        <v>#REF!</v>
      </c>
      <c r="GN31" t="e">
        <f>AND(#REF!,"AAAAAD5+b8M=")</f>
        <v>#REF!</v>
      </c>
      <c r="GO31" t="e">
        <f>AND(#REF!,"AAAAAD5+b8Q=")</f>
        <v>#REF!</v>
      </c>
      <c r="GP31" t="e">
        <f>AND(#REF!,"AAAAAD5+b8U=")</f>
        <v>#REF!</v>
      </c>
      <c r="GQ31" t="e">
        <f>AND(#REF!,"AAAAAD5+b8Y=")</f>
        <v>#REF!</v>
      </c>
      <c r="GR31" t="e">
        <f>AND(#REF!,"AAAAAD5+b8c=")</f>
        <v>#REF!</v>
      </c>
      <c r="GS31" t="e">
        <f>AND(#REF!,"AAAAAD5+b8g=")</f>
        <v>#REF!</v>
      </c>
      <c r="GT31" t="e">
        <f>IF(#REF!,"AAAAAD5+b8k=",0)</f>
        <v>#REF!</v>
      </c>
      <c r="GU31" t="e">
        <f>AND(#REF!,"AAAAAD5+b8o=")</f>
        <v>#REF!</v>
      </c>
      <c r="GV31" t="e">
        <f>AND(#REF!,"AAAAAD5+b8s=")</f>
        <v>#REF!</v>
      </c>
      <c r="GW31" t="e">
        <f>AND(#REF!,"AAAAAD5+b8w=")</f>
        <v>#REF!</v>
      </c>
      <c r="GX31" t="e">
        <f>AND(#REF!,"AAAAAD5+b80=")</f>
        <v>#REF!</v>
      </c>
      <c r="GY31" t="e">
        <f>AND(#REF!,"AAAAAD5+b84=")</f>
        <v>#REF!</v>
      </c>
      <c r="GZ31" t="e">
        <f>AND(#REF!,"AAAAAD5+b88=")</f>
        <v>#REF!</v>
      </c>
      <c r="HA31" t="e">
        <f>AND(#REF!,"AAAAAD5+b9A=")</f>
        <v>#REF!</v>
      </c>
      <c r="HB31" t="e">
        <f>AND(#REF!,"AAAAAD5+b9E=")</f>
        <v>#REF!</v>
      </c>
      <c r="HC31" t="e">
        <f>AND(#REF!,"AAAAAD5+b9I=")</f>
        <v>#REF!</v>
      </c>
      <c r="HD31" t="e">
        <f>AND(#REF!,"AAAAAD5+b9M=")</f>
        <v>#REF!</v>
      </c>
      <c r="HE31" t="e">
        <f>AND(#REF!,"AAAAAD5+b9Q=")</f>
        <v>#REF!</v>
      </c>
      <c r="HF31" t="e">
        <f>AND(#REF!,"AAAAAD5+b9U=")</f>
        <v>#REF!</v>
      </c>
      <c r="HG31" t="e">
        <f>AND(#REF!,"AAAAAD5+b9Y=")</f>
        <v>#REF!</v>
      </c>
      <c r="HH31" t="e">
        <f>IF(#REF!,"AAAAAD5+b9c=",0)</f>
        <v>#REF!</v>
      </c>
      <c r="HI31" t="e">
        <f>AND(#REF!,"AAAAAD5+b9g=")</f>
        <v>#REF!</v>
      </c>
      <c r="HJ31" t="e">
        <f>AND(#REF!,"AAAAAD5+b9k=")</f>
        <v>#REF!</v>
      </c>
      <c r="HK31" t="e">
        <f>AND(#REF!,"AAAAAD5+b9o=")</f>
        <v>#REF!</v>
      </c>
      <c r="HL31" t="e">
        <f>AND(#REF!,"AAAAAD5+b9s=")</f>
        <v>#REF!</v>
      </c>
      <c r="HM31" t="e">
        <f>AND(#REF!,"AAAAAD5+b9w=")</f>
        <v>#REF!</v>
      </c>
      <c r="HN31" t="e">
        <f>AND(#REF!,"AAAAAD5+b90=")</f>
        <v>#REF!</v>
      </c>
      <c r="HO31" t="e">
        <f>AND(#REF!,"AAAAAD5+b94=")</f>
        <v>#REF!</v>
      </c>
      <c r="HP31" t="e">
        <f>AND(#REF!,"AAAAAD5+b98=")</f>
        <v>#REF!</v>
      </c>
      <c r="HQ31" t="e">
        <f>AND(#REF!,"AAAAAD5+b+A=")</f>
        <v>#REF!</v>
      </c>
      <c r="HR31" t="e">
        <f>AND(#REF!,"AAAAAD5+b+E=")</f>
        <v>#REF!</v>
      </c>
      <c r="HS31" t="e">
        <f>AND(#REF!,"AAAAAD5+b+I=")</f>
        <v>#REF!</v>
      </c>
      <c r="HT31" t="e">
        <f>AND(#REF!,"AAAAAD5+b+M=")</f>
        <v>#REF!</v>
      </c>
      <c r="HU31" t="e">
        <f>AND(#REF!,"AAAAAD5+b+Q=")</f>
        <v>#REF!</v>
      </c>
      <c r="HV31" t="e">
        <f>IF(#REF!,"AAAAAD5+b+U=",0)</f>
        <v>#REF!</v>
      </c>
      <c r="HW31" t="e">
        <f>AND(#REF!,"AAAAAD5+b+Y=")</f>
        <v>#REF!</v>
      </c>
      <c r="HX31" t="e">
        <f>AND(#REF!,"AAAAAD5+b+c=")</f>
        <v>#REF!</v>
      </c>
      <c r="HY31" t="e">
        <f>AND(#REF!,"AAAAAD5+b+g=")</f>
        <v>#REF!</v>
      </c>
      <c r="HZ31" t="e">
        <f>AND(#REF!,"AAAAAD5+b+k=")</f>
        <v>#REF!</v>
      </c>
      <c r="IA31" t="e">
        <f>AND(#REF!,"AAAAAD5+b+o=")</f>
        <v>#REF!</v>
      </c>
      <c r="IB31" t="e">
        <f>AND(#REF!,"AAAAAD5+b+s=")</f>
        <v>#REF!</v>
      </c>
      <c r="IC31" t="e">
        <f>AND(#REF!,"AAAAAD5+b+w=")</f>
        <v>#REF!</v>
      </c>
      <c r="ID31" t="e">
        <f>AND(#REF!,"AAAAAD5+b+0=")</f>
        <v>#REF!</v>
      </c>
      <c r="IE31" t="e">
        <f>AND(#REF!,"AAAAAD5+b+4=")</f>
        <v>#REF!</v>
      </c>
      <c r="IF31" t="e">
        <f>AND(#REF!,"AAAAAD5+b+8=")</f>
        <v>#REF!</v>
      </c>
      <c r="IG31" t="e">
        <f>AND(#REF!,"AAAAAD5+b/A=")</f>
        <v>#REF!</v>
      </c>
      <c r="IH31" t="e">
        <f>AND(#REF!,"AAAAAD5+b/E=")</f>
        <v>#REF!</v>
      </c>
      <c r="II31" t="e">
        <f>AND(#REF!,"AAAAAD5+b/I=")</f>
        <v>#REF!</v>
      </c>
      <c r="IJ31" t="e">
        <f>IF(#REF!,"AAAAAD5+b/M=",0)</f>
        <v>#REF!</v>
      </c>
      <c r="IK31" t="e">
        <f>AND(#REF!,"AAAAAD5+b/Q=")</f>
        <v>#REF!</v>
      </c>
      <c r="IL31" t="e">
        <f>AND(#REF!,"AAAAAD5+b/U=")</f>
        <v>#REF!</v>
      </c>
      <c r="IM31" t="e">
        <f>AND(#REF!,"AAAAAD5+b/Y=")</f>
        <v>#REF!</v>
      </c>
      <c r="IN31" t="e">
        <f>AND(#REF!,"AAAAAD5+b/c=")</f>
        <v>#REF!</v>
      </c>
      <c r="IO31" t="e">
        <f>AND(#REF!,"AAAAAD5+b/g=")</f>
        <v>#REF!</v>
      </c>
      <c r="IP31" t="e">
        <f>AND(#REF!,"AAAAAD5+b/k=")</f>
        <v>#REF!</v>
      </c>
      <c r="IQ31" t="e">
        <f>AND(#REF!,"AAAAAD5+b/o=")</f>
        <v>#REF!</v>
      </c>
      <c r="IR31" t="e">
        <f>AND(#REF!,"AAAAAD5+b/s=")</f>
        <v>#REF!</v>
      </c>
      <c r="IS31" t="e">
        <f>AND(#REF!,"AAAAAD5+b/w=")</f>
        <v>#REF!</v>
      </c>
      <c r="IT31" t="e">
        <f>AND(#REF!,"AAAAAD5+b/0=")</f>
        <v>#REF!</v>
      </c>
      <c r="IU31" t="e">
        <f>AND(#REF!,"AAAAAD5+b/4=")</f>
        <v>#REF!</v>
      </c>
      <c r="IV31" t="e">
        <f>AND(#REF!,"AAAAAD5+b/8=")</f>
        <v>#REF!</v>
      </c>
    </row>
    <row r="32" spans="1:256" x14ac:dyDescent="0.2">
      <c r="A32" t="e">
        <f>AND(#REF!,"AAAAAH96vQA=")</f>
        <v>#REF!</v>
      </c>
      <c r="B32" t="e">
        <f>IF(#REF!,"AAAAAH96vQE=",0)</f>
        <v>#REF!</v>
      </c>
      <c r="C32" t="e">
        <f>AND(#REF!,"AAAAAH96vQI=")</f>
        <v>#REF!</v>
      </c>
      <c r="D32" t="e">
        <f>AND(#REF!,"AAAAAH96vQM=")</f>
        <v>#REF!</v>
      </c>
      <c r="E32" t="e">
        <f>AND(#REF!,"AAAAAH96vQQ=")</f>
        <v>#REF!</v>
      </c>
      <c r="F32" t="e">
        <f>AND(#REF!,"AAAAAH96vQU=")</f>
        <v>#REF!</v>
      </c>
      <c r="G32" t="e">
        <f>AND(#REF!,"AAAAAH96vQY=")</f>
        <v>#REF!</v>
      </c>
      <c r="H32" t="e">
        <f>AND(#REF!,"AAAAAH96vQc=")</f>
        <v>#REF!</v>
      </c>
      <c r="I32" t="e">
        <f>AND(#REF!,"AAAAAH96vQg=")</f>
        <v>#REF!</v>
      </c>
      <c r="J32" t="e">
        <f>AND(#REF!,"AAAAAH96vQk=")</f>
        <v>#REF!</v>
      </c>
      <c r="K32" t="e">
        <f>IF(#REF!,"AAAAAH96vQo=",0)</f>
        <v>#REF!</v>
      </c>
      <c r="L32" t="e">
        <f>AND(#REF!,"AAAAAH96vQs=")</f>
        <v>#REF!</v>
      </c>
      <c r="M32" t="e">
        <f>AND(#REF!,"AAAAAH96vQw=")</f>
        <v>#REF!</v>
      </c>
      <c r="N32" t="e">
        <f>AND(#REF!,"AAAAAH96vQ0=")</f>
        <v>#REF!</v>
      </c>
      <c r="O32" t="e">
        <f>AND(#REF!,"AAAAAH96vQ4=")</f>
        <v>#REF!</v>
      </c>
      <c r="P32" t="e">
        <f>AND(#REF!,"AAAAAH96vQ8=")</f>
        <v>#REF!</v>
      </c>
      <c r="Q32" t="e">
        <f>AND(#REF!,"AAAAAH96vRA=")</f>
        <v>#REF!</v>
      </c>
      <c r="R32" t="e">
        <f>AND(#REF!,"AAAAAH96vRE=")</f>
        <v>#REF!</v>
      </c>
      <c r="S32" t="e">
        <f>AND(#REF!,"AAAAAH96vRI=")</f>
        <v>#REF!</v>
      </c>
      <c r="T32" t="e">
        <f>IF(#REF!,"AAAAAH96vRM=",0)</f>
        <v>#REF!</v>
      </c>
      <c r="U32" t="e">
        <f>AND(#REF!,"AAAAAH96vRQ=")</f>
        <v>#REF!</v>
      </c>
      <c r="V32" t="e">
        <f>AND(#REF!,"AAAAAH96vRU=")</f>
        <v>#REF!</v>
      </c>
      <c r="W32" t="e">
        <f>AND(#REF!,"AAAAAH96vRY=")</f>
        <v>#REF!</v>
      </c>
      <c r="X32" t="e">
        <f>AND(#REF!,"AAAAAH96vRc=")</f>
        <v>#REF!</v>
      </c>
      <c r="Y32" t="e">
        <f>AND(#REF!,"AAAAAH96vRg=")</f>
        <v>#REF!</v>
      </c>
      <c r="Z32" t="e">
        <f>AND(#REF!,"AAAAAH96vRk=")</f>
        <v>#REF!</v>
      </c>
      <c r="AA32" t="e">
        <f>AND(#REF!,"AAAAAH96vRo=")</f>
        <v>#REF!</v>
      </c>
      <c r="AB32" t="e">
        <f>AND(#REF!,"AAAAAH96vRs=")</f>
        <v>#REF!</v>
      </c>
      <c r="AC32" t="e">
        <f>IF(#REF!,"AAAAAH96vRw=",0)</f>
        <v>#REF!</v>
      </c>
      <c r="AD32" t="e">
        <f>AND(#REF!,"AAAAAH96vR0=")</f>
        <v>#REF!</v>
      </c>
      <c r="AE32" t="e">
        <f>AND(#REF!,"AAAAAH96vR4=")</f>
        <v>#REF!</v>
      </c>
      <c r="AF32" t="e">
        <f>AND(#REF!,"AAAAAH96vR8=")</f>
        <v>#REF!</v>
      </c>
      <c r="AG32" t="e">
        <f>AND(#REF!,"AAAAAH96vSA=")</f>
        <v>#REF!</v>
      </c>
      <c r="AH32" t="e">
        <f>AND(#REF!,"AAAAAH96vSE=")</f>
        <v>#REF!</v>
      </c>
      <c r="AI32" t="e">
        <f>AND(#REF!,"AAAAAH96vSI=")</f>
        <v>#REF!</v>
      </c>
      <c r="AJ32" t="e">
        <f>AND(#REF!,"AAAAAH96vSM=")</f>
        <v>#REF!</v>
      </c>
      <c r="AK32" t="e">
        <f>AND(#REF!,"AAAAAH96vSQ=")</f>
        <v>#REF!</v>
      </c>
      <c r="AL32" t="e">
        <f>IF(#REF!,"AAAAAH96vSU=",0)</f>
        <v>#REF!</v>
      </c>
      <c r="AM32" t="e">
        <f>AND(#REF!,"AAAAAH96vSY=")</f>
        <v>#REF!</v>
      </c>
      <c r="AN32" t="e">
        <f>AND(#REF!,"AAAAAH96vSc=")</f>
        <v>#REF!</v>
      </c>
      <c r="AO32" t="e">
        <f>AND(#REF!,"AAAAAH96vSg=")</f>
        <v>#REF!</v>
      </c>
      <c r="AP32" t="e">
        <f>AND(#REF!,"AAAAAH96vSk=")</f>
        <v>#REF!</v>
      </c>
      <c r="AQ32" t="e">
        <f>AND(#REF!,"AAAAAH96vSo=")</f>
        <v>#REF!</v>
      </c>
      <c r="AR32" t="e">
        <f>AND(#REF!,"AAAAAH96vSs=")</f>
        <v>#REF!</v>
      </c>
      <c r="AS32" t="e">
        <f>AND(#REF!,"AAAAAH96vSw=")</f>
        <v>#REF!</v>
      </c>
      <c r="AT32" t="e">
        <f>AND(#REF!,"AAAAAH96vS0=")</f>
        <v>#REF!</v>
      </c>
      <c r="AU32" t="e">
        <f>IF(#REF!,"AAAAAH96vS4=",0)</f>
        <v>#REF!</v>
      </c>
      <c r="AV32" t="e">
        <f>AND(#REF!,"AAAAAH96vS8=")</f>
        <v>#REF!</v>
      </c>
      <c r="AW32" t="e">
        <f>AND(#REF!,"AAAAAH96vTA=")</f>
        <v>#REF!</v>
      </c>
      <c r="AX32" t="e">
        <f>AND(#REF!,"AAAAAH96vTE=")</f>
        <v>#REF!</v>
      </c>
      <c r="AY32" t="e">
        <f>AND(#REF!,"AAAAAH96vTI=")</f>
        <v>#REF!</v>
      </c>
      <c r="AZ32" t="e">
        <f>AND(#REF!,"AAAAAH96vTM=")</f>
        <v>#REF!</v>
      </c>
      <c r="BA32" t="e">
        <f>AND(#REF!,"AAAAAH96vTQ=")</f>
        <v>#REF!</v>
      </c>
      <c r="BB32" t="e">
        <f>AND(#REF!,"AAAAAH96vTU=")</f>
        <v>#REF!</v>
      </c>
      <c r="BC32" t="e">
        <f>AND(#REF!,"AAAAAH96vTY=")</f>
        <v>#REF!</v>
      </c>
      <c r="BD32" t="e">
        <f>IF(#REF!,"AAAAAH96vTc=",0)</f>
        <v>#REF!</v>
      </c>
      <c r="BE32" t="e">
        <f>AND(#REF!,"AAAAAH96vTg=")</f>
        <v>#REF!</v>
      </c>
      <c r="BF32" t="e">
        <f>AND(#REF!,"AAAAAH96vTk=")</f>
        <v>#REF!</v>
      </c>
      <c r="BG32" t="e">
        <f>AND(#REF!,"AAAAAH96vTo=")</f>
        <v>#REF!</v>
      </c>
      <c r="BH32" t="e">
        <f>AND(#REF!,"AAAAAH96vTs=")</f>
        <v>#REF!</v>
      </c>
      <c r="BI32" t="e">
        <f>AND(#REF!,"AAAAAH96vTw=")</f>
        <v>#REF!</v>
      </c>
      <c r="BJ32" t="e">
        <f>AND(#REF!,"AAAAAH96vT0=")</f>
        <v>#REF!</v>
      </c>
      <c r="BK32" t="e">
        <f>AND(#REF!,"AAAAAH96vT4=")</f>
        <v>#REF!</v>
      </c>
      <c r="BL32" t="e">
        <f>AND(#REF!,"AAAAAH96vT8=")</f>
        <v>#REF!</v>
      </c>
      <c r="BM32" t="e">
        <f>IF(#REF!,"AAAAAH96vUA=",0)</f>
        <v>#REF!</v>
      </c>
      <c r="BN32" t="e">
        <f>AND(#REF!,"AAAAAH96vUE=")</f>
        <v>#REF!</v>
      </c>
      <c r="BO32" t="e">
        <f>AND(#REF!,"AAAAAH96vUI=")</f>
        <v>#REF!</v>
      </c>
      <c r="BP32" t="e">
        <f>AND(#REF!,"AAAAAH96vUM=")</f>
        <v>#REF!</v>
      </c>
      <c r="BQ32" t="e">
        <f>AND(#REF!,"AAAAAH96vUQ=")</f>
        <v>#REF!</v>
      </c>
      <c r="BR32" t="e">
        <f>AND(#REF!,"AAAAAH96vUU=")</f>
        <v>#REF!</v>
      </c>
      <c r="BS32" t="e">
        <f>AND(#REF!,"AAAAAH96vUY=")</f>
        <v>#REF!</v>
      </c>
      <c r="BT32" t="e">
        <f>AND(#REF!,"AAAAAH96vUc=")</f>
        <v>#REF!</v>
      </c>
      <c r="BU32" t="e">
        <f>AND(#REF!,"AAAAAH96vUg=")</f>
        <v>#REF!</v>
      </c>
      <c r="BV32" t="e">
        <f>IF(#REF!,"AAAAAH96vUk=",0)</f>
        <v>#REF!</v>
      </c>
      <c r="BW32" t="e">
        <f>AND(#REF!,"AAAAAH96vUo=")</f>
        <v>#REF!</v>
      </c>
      <c r="BX32" t="e">
        <f>AND(#REF!,"AAAAAH96vUs=")</f>
        <v>#REF!</v>
      </c>
      <c r="BY32" t="e">
        <f>AND(#REF!,"AAAAAH96vUw=")</f>
        <v>#REF!</v>
      </c>
      <c r="BZ32" t="e">
        <f>AND(#REF!,"AAAAAH96vU0=")</f>
        <v>#REF!</v>
      </c>
      <c r="CA32" t="e">
        <f>AND(#REF!,"AAAAAH96vU4=")</f>
        <v>#REF!</v>
      </c>
      <c r="CB32" t="e">
        <f>AND(#REF!,"AAAAAH96vU8=")</f>
        <v>#REF!</v>
      </c>
      <c r="CC32" t="e">
        <f>AND(#REF!,"AAAAAH96vVA=")</f>
        <v>#REF!</v>
      </c>
      <c r="CD32" t="e">
        <f>AND(#REF!,"AAAAAH96vVE=")</f>
        <v>#REF!</v>
      </c>
      <c r="CE32" t="e">
        <f>IF(#REF!,"AAAAAH96vVI=",0)</f>
        <v>#REF!</v>
      </c>
      <c r="CF32" t="e">
        <f>AND(#REF!,"AAAAAH96vVM=")</f>
        <v>#REF!</v>
      </c>
      <c r="CG32" t="e">
        <f>AND(#REF!,"AAAAAH96vVQ=")</f>
        <v>#REF!</v>
      </c>
      <c r="CH32" t="e">
        <f>AND(#REF!,"AAAAAH96vVU=")</f>
        <v>#REF!</v>
      </c>
      <c r="CI32" t="e">
        <f>AND(#REF!,"AAAAAH96vVY=")</f>
        <v>#REF!</v>
      </c>
      <c r="CJ32" t="e">
        <f>AND(#REF!,"AAAAAH96vVc=")</f>
        <v>#REF!</v>
      </c>
      <c r="CK32" t="e">
        <f>AND(#REF!,"AAAAAH96vVg=")</f>
        <v>#REF!</v>
      </c>
      <c r="CL32" t="e">
        <f>AND(#REF!,"AAAAAH96vVk=")</f>
        <v>#REF!</v>
      </c>
      <c r="CM32" t="e">
        <f>AND(#REF!,"AAAAAH96vVo=")</f>
        <v>#REF!</v>
      </c>
      <c r="CN32" t="e">
        <f>IF(#REF!,"AAAAAH96vVs=",0)</f>
        <v>#REF!</v>
      </c>
      <c r="CO32" t="e">
        <f>AND(#REF!,"AAAAAH96vVw=")</f>
        <v>#REF!</v>
      </c>
      <c r="CP32" t="e">
        <f>AND(#REF!,"AAAAAH96vV0=")</f>
        <v>#REF!</v>
      </c>
      <c r="CQ32" t="e">
        <f>AND(#REF!,"AAAAAH96vV4=")</f>
        <v>#REF!</v>
      </c>
      <c r="CR32" t="e">
        <f>AND(#REF!,"AAAAAH96vV8=")</f>
        <v>#REF!</v>
      </c>
      <c r="CS32" t="e">
        <f>AND(#REF!,"AAAAAH96vWA=")</f>
        <v>#REF!</v>
      </c>
      <c r="CT32" t="e">
        <f>AND(#REF!,"AAAAAH96vWE=")</f>
        <v>#REF!</v>
      </c>
      <c r="CU32" t="e">
        <f>AND(#REF!,"AAAAAH96vWI=")</f>
        <v>#REF!</v>
      </c>
      <c r="CV32" t="e">
        <f>AND(#REF!,"AAAAAH96vWM=")</f>
        <v>#REF!</v>
      </c>
      <c r="CW32" t="e">
        <f>IF(#REF!,"AAAAAH96vWQ=",0)</f>
        <v>#REF!</v>
      </c>
      <c r="CX32" t="e">
        <f>AND(#REF!,"AAAAAH96vWU=")</f>
        <v>#REF!</v>
      </c>
      <c r="CY32" t="e">
        <f>AND(#REF!,"AAAAAH96vWY=")</f>
        <v>#REF!</v>
      </c>
      <c r="CZ32" t="e">
        <f>AND(#REF!,"AAAAAH96vWc=")</f>
        <v>#REF!</v>
      </c>
      <c r="DA32" t="e">
        <f>AND(#REF!,"AAAAAH96vWg=")</f>
        <v>#REF!</v>
      </c>
      <c r="DB32" t="e">
        <f>AND(#REF!,"AAAAAH96vWk=")</f>
        <v>#REF!</v>
      </c>
      <c r="DC32" t="e">
        <f>AND(#REF!,"AAAAAH96vWo=")</f>
        <v>#REF!</v>
      </c>
      <c r="DD32" t="e">
        <f>AND(#REF!,"AAAAAH96vWs=")</f>
        <v>#REF!</v>
      </c>
      <c r="DE32" t="e">
        <f>AND(#REF!,"AAAAAH96vWw=")</f>
        <v>#REF!</v>
      </c>
      <c r="DF32" t="e">
        <f>IF(#REF!,"AAAAAH96vW0=",0)</f>
        <v>#REF!</v>
      </c>
      <c r="DG32" t="e">
        <f>AND(#REF!,"AAAAAH96vW4=")</f>
        <v>#REF!</v>
      </c>
      <c r="DH32" t="e">
        <f>AND(#REF!,"AAAAAH96vW8=")</f>
        <v>#REF!</v>
      </c>
      <c r="DI32" t="e">
        <f>AND(#REF!,"AAAAAH96vXA=")</f>
        <v>#REF!</v>
      </c>
      <c r="DJ32" t="e">
        <f>AND(#REF!,"AAAAAH96vXE=")</f>
        <v>#REF!</v>
      </c>
      <c r="DK32" t="e">
        <f>AND(#REF!,"AAAAAH96vXI=")</f>
        <v>#REF!</v>
      </c>
      <c r="DL32" t="e">
        <f>AND(#REF!,"AAAAAH96vXM=")</f>
        <v>#REF!</v>
      </c>
      <c r="DM32" t="e">
        <f>AND(#REF!,"AAAAAH96vXQ=")</f>
        <v>#REF!</v>
      </c>
      <c r="DN32" t="e">
        <f>AND(#REF!,"AAAAAH96vXU=")</f>
        <v>#REF!</v>
      </c>
      <c r="DO32" t="e">
        <f>IF(#REF!,"AAAAAH96vXY=",0)</f>
        <v>#REF!</v>
      </c>
      <c r="DP32" t="e">
        <f>AND(#REF!,"AAAAAH96vXc=")</f>
        <v>#REF!</v>
      </c>
      <c r="DQ32" t="e">
        <f>AND(#REF!,"AAAAAH96vXg=")</f>
        <v>#REF!</v>
      </c>
      <c r="DR32" t="e">
        <f>AND(#REF!,"AAAAAH96vXk=")</f>
        <v>#REF!</v>
      </c>
      <c r="DS32" t="e">
        <f>AND(#REF!,"AAAAAH96vXo=")</f>
        <v>#REF!</v>
      </c>
      <c r="DT32" t="e">
        <f>AND(#REF!,"AAAAAH96vXs=")</f>
        <v>#REF!</v>
      </c>
      <c r="DU32" t="e">
        <f>AND(#REF!,"AAAAAH96vXw=")</f>
        <v>#REF!</v>
      </c>
      <c r="DV32" t="e">
        <f>AND(#REF!,"AAAAAH96vX0=")</f>
        <v>#REF!</v>
      </c>
      <c r="DW32" t="e">
        <f>AND(#REF!,"AAAAAH96vX4=")</f>
        <v>#REF!</v>
      </c>
      <c r="DX32" t="e">
        <f>IF(#REF!,"AAAAAH96vX8=",0)</f>
        <v>#REF!</v>
      </c>
      <c r="DY32" t="e">
        <f>AND(#REF!,"AAAAAH96vYA=")</f>
        <v>#REF!</v>
      </c>
      <c r="DZ32" t="e">
        <f>AND(#REF!,"AAAAAH96vYE=")</f>
        <v>#REF!</v>
      </c>
      <c r="EA32" t="e">
        <f>AND(#REF!,"AAAAAH96vYI=")</f>
        <v>#REF!</v>
      </c>
      <c r="EB32" t="e">
        <f>AND(#REF!,"AAAAAH96vYM=")</f>
        <v>#REF!</v>
      </c>
      <c r="EC32" t="e">
        <f>AND(#REF!,"AAAAAH96vYQ=")</f>
        <v>#REF!</v>
      </c>
      <c r="ED32" t="e">
        <f>AND(#REF!,"AAAAAH96vYU=")</f>
        <v>#REF!</v>
      </c>
      <c r="EE32" t="e">
        <f>AND(#REF!,"AAAAAH96vYY=")</f>
        <v>#REF!</v>
      </c>
      <c r="EF32" t="e">
        <f>AND(#REF!,"AAAAAH96vYc=")</f>
        <v>#REF!</v>
      </c>
      <c r="EG32" t="e">
        <f>IF(#REF!,"AAAAAH96vYg=",0)</f>
        <v>#REF!</v>
      </c>
      <c r="EH32" t="e">
        <f>AND(#REF!,"AAAAAH96vYk=")</f>
        <v>#REF!</v>
      </c>
      <c r="EI32" t="e">
        <f>AND(#REF!,"AAAAAH96vYo=")</f>
        <v>#REF!</v>
      </c>
      <c r="EJ32" t="e">
        <f>AND(#REF!,"AAAAAH96vYs=")</f>
        <v>#REF!</v>
      </c>
      <c r="EK32" t="e">
        <f>AND(#REF!,"AAAAAH96vYw=")</f>
        <v>#REF!</v>
      </c>
      <c r="EL32" t="e">
        <f>AND(#REF!,"AAAAAH96vY0=")</f>
        <v>#REF!</v>
      </c>
      <c r="EM32" t="e">
        <f>AND(#REF!,"AAAAAH96vY4=")</f>
        <v>#REF!</v>
      </c>
      <c r="EN32" t="e">
        <f>AND(#REF!,"AAAAAH96vY8=")</f>
        <v>#REF!</v>
      </c>
      <c r="EO32" t="e">
        <f>AND(#REF!,"AAAAAH96vZA=")</f>
        <v>#REF!</v>
      </c>
      <c r="EP32" t="e">
        <f>IF(#REF!,"AAAAAH96vZE=",0)</f>
        <v>#REF!</v>
      </c>
      <c r="EQ32" t="e">
        <f>AND(#REF!,"AAAAAH96vZI=")</f>
        <v>#REF!</v>
      </c>
      <c r="ER32" t="e">
        <f>AND(#REF!,"AAAAAH96vZM=")</f>
        <v>#REF!</v>
      </c>
      <c r="ES32" t="e">
        <f>AND(#REF!,"AAAAAH96vZQ=")</f>
        <v>#REF!</v>
      </c>
      <c r="ET32" t="e">
        <f>AND(#REF!,"AAAAAH96vZU=")</f>
        <v>#REF!</v>
      </c>
      <c r="EU32" t="e">
        <f>AND(#REF!,"AAAAAH96vZY=")</f>
        <v>#REF!</v>
      </c>
      <c r="EV32" t="e">
        <f>AND(#REF!,"AAAAAH96vZc=")</f>
        <v>#REF!</v>
      </c>
      <c r="EW32" t="e">
        <f>AND(#REF!,"AAAAAH96vZg=")</f>
        <v>#REF!</v>
      </c>
      <c r="EX32" t="e">
        <f>AND(#REF!,"AAAAAH96vZk=")</f>
        <v>#REF!</v>
      </c>
      <c r="EY32" t="e">
        <f>IF(#REF!,"AAAAAH96vZo=",0)</f>
        <v>#REF!</v>
      </c>
      <c r="EZ32" t="e">
        <f>AND(#REF!,"AAAAAH96vZs=")</f>
        <v>#REF!</v>
      </c>
      <c r="FA32" t="e">
        <f>AND(#REF!,"AAAAAH96vZw=")</f>
        <v>#REF!</v>
      </c>
      <c r="FB32" t="e">
        <f>AND(#REF!,"AAAAAH96vZ0=")</f>
        <v>#REF!</v>
      </c>
      <c r="FC32" t="e">
        <f>AND(#REF!,"AAAAAH96vZ4=")</f>
        <v>#REF!</v>
      </c>
      <c r="FD32" t="e">
        <f>AND(#REF!,"AAAAAH96vZ8=")</f>
        <v>#REF!</v>
      </c>
      <c r="FE32" t="e">
        <f>AND(#REF!,"AAAAAH96vaA=")</f>
        <v>#REF!</v>
      </c>
      <c r="FF32" t="e">
        <f>AND(#REF!,"AAAAAH96vaE=")</f>
        <v>#REF!</v>
      </c>
      <c r="FG32" t="e">
        <f>AND(#REF!,"AAAAAH96vaI=")</f>
        <v>#REF!</v>
      </c>
      <c r="FH32" t="e">
        <f>IF(#REF!,"AAAAAH96vaM=",0)</f>
        <v>#REF!</v>
      </c>
      <c r="FI32" t="e">
        <f>AND(#REF!,"AAAAAH96vaQ=")</f>
        <v>#REF!</v>
      </c>
      <c r="FJ32" t="e">
        <f>AND(#REF!,"AAAAAH96vaU=")</f>
        <v>#REF!</v>
      </c>
      <c r="FK32" t="e">
        <f>AND(#REF!,"AAAAAH96vaY=")</f>
        <v>#REF!</v>
      </c>
      <c r="FL32" t="e">
        <f>AND(#REF!,"AAAAAH96vac=")</f>
        <v>#REF!</v>
      </c>
      <c r="FM32" t="e">
        <f>AND(#REF!,"AAAAAH96vag=")</f>
        <v>#REF!</v>
      </c>
      <c r="FN32" t="e">
        <f>AND(#REF!,"AAAAAH96vak=")</f>
        <v>#REF!</v>
      </c>
      <c r="FO32" t="e">
        <f>AND(#REF!,"AAAAAH96vao=")</f>
        <v>#REF!</v>
      </c>
      <c r="FP32" t="e">
        <f>AND(#REF!,"AAAAAH96vas=")</f>
        <v>#REF!</v>
      </c>
      <c r="FQ32" t="e">
        <f>IF(#REF!,"AAAAAH96vaw=",0)</f>
        <v>#REF!</v>
      </c>
      <c r="FR32" t="e">
        <f>AND(#REF!,"AAAAAH96va0=")</f>
        <v>#REF!</v>
      </c>
      <c r="FS32" t="e">
        <f>AND(#REF!,"AAAAAH96va4=")</f>
        <v>#REF!</v>
      </c>
      <c r="FT32" t="e">
        <f>AND(#REF!,"AAAAAH96va8=")</f>
        <v>#REF!</v>
      </c>
      <c r="FU32" t="e">
        <f>AND(#REF!,"AAAAAH96vbA=")</f>
        <v>#REF!</v>
      </c>
      <c r="FV32" t="e">
        <f>AND(#REF!,"AAAAAH96vbE=")</f>
        <v>#REF!</v>
      </c>
      <c r="FW32" t="e">
        <f>AND(#REF!,"AAAAAH96vbI=")</f>
        <v>#REF!</v>
      </c>
      <c r="FX32" t="e">
        <f>AND(#REF!,"AAAAAH96vbM=")</f>
        <v>#REF!</v>
      </c>
      <c r="FY32" t="e">
        <f>AND(#REF!,"AAAAAH96vbQ=")</f>
        <v>#REF!</v>
      </c>
      <c r="FZ32" t="e">
        <f>IF(#REF!,"AAAAAH96vbU=",0)</f>
        <v>#REF!</v>
      </c>
      <c r="GA32" t="e">
        <f>AND(#REF!,"AAAAAH96vbY=")</f>
        <v>#REF!</v>
      </c>
      <c r="GB32" t="e">
        <f>AND(#REF!,"AAAAAH96vbc=")</f>
        <v>#REF!</v>
      </c>
      <c r="GC32" t="e">
        <f>AND(#REF!,"AAAAAH96vbg=")</f>
        <v>#REF!</v>
      </c>
      <c r="GD32" t="e">
        <f>AND(#REF!,"AAAAAH96vbk=")</f>
        <v>#REF!</v>
      </c>
      <c r="GE32" t="e">
        <f>AND(#REF!,"AAAAAH96vbo=")</f>
        <v>#REF!</v>
      </c>
      <c r="GF32" t="e">
        <f>AND(#REF!,"AAAAAH96vbs=")</f>
        <v>#REF!</v>
      </c>
      <c r="GG32" t="e">
        <f>AND(#REF!,"AAAAAH96vbw=")</f>
        <v>#REF!</v>
      </c>
      <c r="GH32" t="e">
        <f>AND(#REF!,"AAAAAH96vb0=")</f>
        <v>#REF!</v>
      </c>
      <c r="GI32" t="e">
        <f>IF(#REF!,"AAAAAH96vb4=",0)</f>
        <v>#REF!</v>
      </c>
      <c r="GJ32" t="e">
        <f>AND(#REF!,"AAAAAH96vb8=")</f>
        <v>#REF!</v>
      </c>
      <c r="GK32" t="e">
        <f>AND(#REF!,"AAAAAH96vcA=")</f>
        <v>#REF!</v>
      </c>
      <c r="GL32" t="e">
        <f>AND(#REF!,"AAAAAH96vcE=")</f>
        <v>#REF!</v>
      </c>
      <c r="GM32" t="e">
        <f>AND(#REF!,"AAAAAH96vcI=")</f>
        <v>#REF!</v>
      </c>
      <c r="GN32" t="e">
        <f>AND(#REF!,"AAAAAH96vcM=")</f>
        <v>#REF!</v>
      </c>
      <c r="GO32" t="e">
        <f>AND(#REF!,"AAAAAH96vcQ=")</f>
        <v>#REF!</v>
      </c>
      <c r="GP32" t="e">
        <f>AND(#REF!,"AAAAAH96vcU=")</f>
        <v>#REF!</v>
      </c>
      <c r="GQ32" t="e">
        <f>AND(#REF!,"AAAAAH96vcY=")</f>
        <v>#REF!</v>
      </c>
      <c r="GR32" t="e">
        <f>IF(#REF!,"AAAAAH96vcc=",0)</f>
        <v>#REF!</v>
      </c>
      <c r="GS32" t="e">
        <f>AND(#REF!,"AAAAAH96vcg=")</f>
        <v>#REF!</v>
      </c>
      <c r="GT32" t="e">
        <f>AND(#REF!,"AAAAAH96vck=")</f>
        <v>#REF!</v>
      </c>
      <c r="GU32" t="e">
        <f>AND(#REF!,"AAAAAH96vco=")</f>
        <v>#REF!</v>
      </c>
      <c r="GV32" t="e">
        <f>AND(#REF!,"AAAAAH96vcs=")</f>
        <v>#REF!</v>
      </c>
      <c r="GW32" t="e">
        <f>AND(#REF!,"AAAAAH96vcw=")</f>
        <v>#REF!</v>
      </c>
      <c r="GX32" t="e">
        <f>AND(#REF!,"AAAAAH96vc0=")</f>
        <v>#REF!</v>
      </c>
      <c r="GY32" t="e">
        <f>AND(#REF!,"AAAAAH96vc4=")</f>
        <v>#REF!</v>
      </c>
      <c r="GZ32" t="e">
        <f>AND(#REF!,"AAAAAH96vc8=")</f>
        <v>#REF!</v>
      </c>
      <c r="HA32" t="e">
        <f>IF(#REF!,"AAAAAH96vdA=",0)</f>
        <v>#REF!</v>
      </c>
      <c r="HB32" t="e">
        <f>AND(#REF!,"AAAAAH96vdE=")</f>
        <v>#REF!</v>
      </c>
      <c r="HC32" t="e">
        <f>AND(#REF!,"AAAAAH96vdI=")</f>
        <v>#REF!</v>
      </c>
      <c r="HD32" t="e">
        <f>AND(#REF!,"AAAAAH96vdM=")</f>
        <v>#REF!</v>
      </c>
      <c r="HE32" t="e">
        <f>AND(#REF!,"AAAAAH96vdQ=")</f>
        <v>#REF!</v>
      </c>
      <c r="HF32" t="e">
        <f>AND(#REF!,"AAAAAH96vdU=")</f>
        <v>#REF!</v>
      </c>
      <c r="HG32" t="e">
        <f>AND(#REF!,"AAAAAH96vdY=")</f>
        <v>#REF!</v>
      </c>
      <c r="HH32" t="e">
        <f>AND(#REF!,"AAAAAH96vdc=")</f>
        <v>#REF!</v>
      </c>
      <c r="HI32" t="e">
        <f>AND(#REF!,"AAAAAH96vdg=")</f>
        <v>#REF!</v>
      </c>
      <c r="HJ32" t="e">
        <f>IF(#REF!,"AAAAAH96vdk=",0)</f>
        <v>#REF!</v>
      </c>
      <c r="HK32" t="e">
        <f>AND(#REF!,"AAAAAH96vdo=")</f>
        <v>#REF!</v>
      </c>
      <c r="HL32" t="e">
        <f>AND(#REF!,"AAAAAH96vds=")</f>
        <v>#REF!</v>
      </c>
      <c r="HM32" t="e">
        <f>AND(#REF!,"AAAAAH96vdw=")</f>
        <v>#REF!</v>
      </c>
      <c r="HN32" t="e">
        <f>AND(#REF!,"AAAAAH96vd0=")</f>
        <v>#REF!</v>
      </c>
      <c r="HO32" t="e">
        <f>AND(#REF!,"AAAAAH96vd4=")</f>
        <v>#REF!</v>
      </c>
      <c r="HP32" t="e">
        <f>AND(#REF!,"AAAAAH96vd8=")</f>
        <v>#REF!</v>
      </c>
      <c r="HQ32" t="e">
        <f>AND(#REF!,"AAAAAH96veA=")</f>
        <v>#REF!</v>
      </c>
      <c r="HR32" t="e">
        <f>AND(#REF!,"AAAAAH96veE=")</f>
        <v>#REF!</v>
      </c>
      <c r="HS32" t="e">
        <f>IF(#REF!,"AAAAAH96veI=",0)</f>
        <v>#REF!</v>
      </c>
      <c r="HT32" t="e">
        <f>AND(#REF!,"AAAAAH96veM=")</f>
        <v>#REF!</v>
      </c>
      <c r="HU32" t="e">
        <f>AND(#REF!,"AAAAAH96veQ=")</f>
        <v>#REF!</v>
      </c>
      <c r="HV32" t="e">
        <f>AND(#REF!,"AAAAAH96veU=")</f>
        <v>#REF!</v>
      </c>
      <c r="HW32" t="e">
        <f>AND(#REF!,"AAAAAH96veY=")</f>
        <v>#REF!</v>
      </c>
      <c r="HX32" t="e">
        <f>AND(#REF!,"AAAAAH96vec=")</f>
        <v>#REF!</v>
      </c>
      <c r="HY32" t="e">
        <f>AND(#REF!,"AAAAAH96veg=")</f>
        <v>#REF!</v>
      </c>
      <c r="HZ32" t="e">
        <f>AND(#REF!,"AAAAAH96vek=")</f>
        <v>#REF!</v>
      </c>
      <c r="IA32" t="e">
        <f>AND(#REF!,"AAAAAH96veo=")</f>
        <v>#REF!</v>
      </c>
      <c r="IB32" t="e">
        <f>IF(#REF!,"AAAAAH96ves=",0)</f>
        <v>#REF!</v>
      </c>
      <c r="IC32" t="e">
        <f>AND(#REF!,"AAAAAH96vew=")</f>
        <v>#REF!</v>
      </c>
      <c r="ID32" t="e">
        <f>AND(#REF!,"AAAAAH96ve0=")</f>
        <v>#REF!</v>
      </c>
      <c r="IE32" t="e">
        <f>AND(#REF!,"AAAAAH96ve4=")</f>
        <v>#REF!</v>
      </c>
      <c r="IF32" t="e">
        <f>AND(#REF!,"AAAAAH96ve8=")</f>
        <v>#REF!</v>
      </c>
      <c r="IG32" t="e">
        <f>AND(#REF!,"AAAAAH96vfA=")</f>
        <v>#REF!</v>
      </c>
      <c r="IH32" t="e">
        <f>AND(#REF!,"AAAAAH96vfE=")</f>
        <v>#REF!</v>
      </c>
      <c r="II32" t="e">
        <f>AND(#REF!,"AAAAAH96vfI=")</f>
        <v>#REF!</v>
      </c>
      <c r="IJ32" t="e">
        <f>AND(#REF!,"AAAAAH96vfM=")</f>
        <v>#REF!</v>
      </c>
      <c r="IK32" t="e">
        <f>IF(#REF!,"AAAAAH96vfQ=",0)</f>
        <v>#REF!</v>
      </c>
      <c r="IL32" t="e">
        <f>AND(#REF!,"AAAAAH96vfU=")</f>
        <v>#REF!</v>
      </c>
      <c r="IM32" t="e">
        <f>AND(#REF!,"AAAAAH96vfY=")</f>
        <v>#REF!</v>
      </c>
      <c r="IN32" t="e">
        <f>AND(#REF!,"AAAAAH96vfc=")</f>
        <v>#REF!</v>
      </c>
      <c r="IO32" t="e">
        <f>AND(#REF!,"AAAAAH96vfg=")</f>
        <v>#REF!</v>
      </c>
      <c r="IP32" t="e">
        <f>AND(#REF!,"AAAAAH96vfk=")</f>
        <v>#REF!</v>
      </c>
      <c r="IQ32" t="e">
        <f>AND(#REF!,"AAAAAH96vfo=")</f>
        <v>#REF!</v>
      </c>
      <c r="IR32" t="e">
        <f>AND(#REF!,"AAAAAH96vfs=")</f>
        <v>#REF!</v>
      </c>
      <c r="IS32" t="e">
        <f>AND(#REF!,"AAAAAH96vfw=")</f>
        <v>#REF!</v>
      </c>
      <c r="IT32" t="e">
        <f>IF(#REF!,"AAAAAH96vf0=",0)</f>
        <v>#REF!</v>
      </c>
      <c r="IU32" t="e">
        <f>AND(#REF!,"AAAAAH96vf4=")</f>
        <v>#REF!</v>
      </c>
      <c r="IV32" t="e">
        <f>AND(#REF!,"AAAAAH96vf8=")</f>
        <v>#REF!</v>
      </c>
    </row>
    <row r="33" spans="1:256" x14ac:dyDescent="0.2">
      <c r="A33" t="e">
        <f>AND(#REF!,"AAAAAH/z+wA=")</f>
        <v>#REF!</v>
      </c>
      <c r="B33" t="e">
        <f>AND(#REF!,"AAAAAH/z+wE=")</f>
        <v>#REF!</v>
      </c>
      <c r="C33" t="e">
        <f>AND(#REF!,"AAAAAH/z+wI=")</f>
        <v>#REF!</v>
      </c>
      <c r="D33" t="e">
        <f>AND(#REF!,"AAAAAH/z+wM=")</f>
        <v>#REF!</v>
      </c>
      <c r="E33" t="e">
        <f>AND(#REF!,"AAAAAH/z+wQ=")</f>
        <v>#REF!</v>
      </c>
      <c r="F33" t="e">
        <f>AND(#REF!,"AAAAAH/z+wU=")</f>
        <v>#REF!</v>
      </c>
      <c r="G33" t="e">
        <f>IF(#REF!,"AAAAAH/z+wY=",0)</f>
        <v>#REF!</v>
      </c>
      <c r="H33" t="e">
        <f>AND(#REF!,"AAAAAH/z+wc=")</f>
        <v>#REF!</v>
      </c>
      <c r="I33" t="e">
        <f>AND(#REF!,"AAAAAH/z+wg=")</f>
        <v>#REF!</v>
      </c>
      <c r="J33" t="e">
        <f>AND(#REF!,"AAAAAH/z+wk=")</f>
        <v>#REF!</v>
      </c>
      <c r="K33" t="e">
        <f>AND(#REF!,"AAAAAH/z+wo=")</f>
        <v>#REF!</v>
      </c>
      <c r="L33" t="e">
        <f>AND(#REF!,"AAAAAH/z+ws=")</f>
        <v>#REF!</v>
      </c>
      <c r="M33" t="e">
        <f>AND(#REF!,"AAAAAH/z+ww=")</f>
        <v>#REF!</v>
      </c>
      <c r="N33" t="e">
        <f>AND(#REF!,"AAAAAH/z+w0=")</f>
        <v>#REF!</v>
      </c>
      <c r="O33" t="e">
        <f>AND(#REF!,"AAAAAH/z+w4=")</f>
        <v>#REF!</v>
      </c>
      <c r="P33" t="e">
        <f>IF(#REF!,"AAAAAH/z+w8=",0)</f>
        <v>#REF!</v>
      </c>
      <c r="Q33" t="e">
        <f>AND(#REF!,"AAAAAH/z+xA=")</f>
        <v>#REF!</v>
      </c>
      <c r="R33" t="e">
        <f>AND(#REF!,"AAAAAH/z+xE=")</f>
        <v>#REF!</v>
      </c>
      <c r="S33" t="e">
        <f>AND(#REF!,"AAAAAH/z+xI=")</f>
        <v>#REF!</v>
      </c>
      <c r="T33" t="e">
        <f>AND(#REF!,"AAAAAH/z+xM=")</f>
        <v>#REF!</v>
      </c>
      <c r="U33" t="e">
        <f>AND(#REF!,"AAAAAH/z+xQ=")</f>
        <v>#REF!</v>
      </c>
      <c r="V33" t="e">
        <f>AND(#REF!,"AAAAAH/z+xU=")</f>
        <v>#REF!</v>
      </c>
      <c r="W33" t="e">
        <f>AND(#REF!,"AAAAAH/z+xY=")</f>
        <v>#REF!</v>
      </c>
      <c r="X33" t="e">
        <f>AND(#REF!,"AAAAAH/z+xc=")</f>
        <v>#REF!</v>
      </c>
      <c r="Y33" t="e">
        <f>IF(#REF!,"AAAAAH/z+xg=",0)</f>
        <v>#REF!</v>
      </c>
      <c r="Z33" t="e">
        <f>IF(#REF!,"AAAAAH/z+xk=",0)</f>
        <v>#REF!</v>
      </c>
      <c r="AA33" t="e">
        <f>IF(#REF!,"AAAAAH/z+xo=",0)</f>
        <v>#REF!</v>
      </c>
      <c r="AB33" t="e">
        <f>IF(#REF!,"AAAAAH/z+xs=",0)</f>
        <v>#REF!</v>
      </c>
      <c r="AC33" t="e">
        <f>IF(#REF!,"AAAAAH/z+xw=",0)</f>
        <v>#REF!</v>
      </c>
      <c r="AD33" t="e">
        <f>IF(#REF!,"AAAAAH/z+x0=",0)</f>
        <v>#REF!</v>
      </c>
      <c r="AE33" t="e">
        <f>IF(#REF!,"AAAAAH/z+x4=",0)</f>
        <v>#REF!</v>
      </c>
      <c r="AF33" t="e">
        <f>IF(#REF!,"AAAAAH/z+x8=",0)</f>
        <v>#REF!</v>
      </c>
      <c r="AG33" t="e">
        <f>IF(#REF!,"AAAAAH/z+yA=",0)</f>
        <v>#REF!</v>
      </c>
      <c r="AH33" t="e">
        <f>IF(#REF!,"AAAAAH/z+yE=",0)</f>
        <v>#REF!</v>
      </c>
      <c r="AI33" t="e">
        <f>IF(#REF!,"AAAAAH/z+yI=",0)</f>
        <v>#REF!</v>
      </c>
      <c r="AJ33" t="e">
        <f>IF(#REF!,"AAAAAH/z+yM=",0)</f>
        <v>#REF!</v>
      </c>
      <c r="AK33" t="e">
        <f>IF(#REF!,"AAAAAH/z+yQ=",0)</f>
        <v>#REF!</v>
      </c>
      <c r="AL33" t="e">
        <f>IF(#REF!,"AAAAAH/z+yU=",0)</f>
        <v>#REF!</v>
      </c>
      <c r="AM33" t="e">
        <f>AND(#REF!,"AAAAAH/z+yY=")</f>
        <v>#REF!</v>
      </c>
      <c r="AN33" t="e">
        <f>AND(#REF!,"AAAAAH/z+yc=")</f>
        <v>#REF!</v>
      </c>
      <c r="AO33" t="e">
        <f>AND(#REF!,"AAAAAH/z+yg=")</f>
        <v>#REF!</v>
      </c>
      <c r="AP33" t="e">
        <f>AND(#REF!,"AAAAAH/z+yk=")</f>
        <v>#REF!</v>
      </c>
      <c r="AQ33" t="e">
        <f>AND(#REF!,"AAAAAH/z+yo=")</f>
        <v>#REF!</v>
      </c>
      <c r="AR33" t="e">
        <f>AND(#REF!,"AAAAAH/z+ys=")</f>
        <v>#REF!</v>
      </c>
      <c r="AS33" t="e">
        <f>AND(#REF!,"AAAAAH/z+yw=")</f>
        <v>#REF!</v>
      </c>
      <c r="AT33" t="e">
        <f>AND(#REF!,"AAAAAH/z+y0=")</f>
        <v>#REF!</v>
      </c>
      <c r="AU33" t="e">
        <f>AND(#REF!,"AAAAAH/z+y4=")</f>
        <v>#REF!</v>
      </c>
      <c r="AV33" t="e">
        <f>AND(#REF!,"AAAAAH/z+y8=")</f>
        <v>#REF!</v>
      </c>
      <c r="AW33" t="e">
        <f>AND(#REF!,"AAAAAH/z+zA=")</f>
        <v>#REF!</v>
      </c>
      <c r="AX33" t="e">
        <f>AND(#REF!,"AAAAAH/z+zE=")</f>
        <v>#REF!</v>
      </c>
      <c r="AY33" t="e">
        <f>AND(#REF!,"AAAAAH/z+zI=")</f>
        <v>#REF!</v>
      </c>
      <c r="AZ33" t="e">
        <f>IF(#REF!,"AAAAAH/z+zM=",0)</f>
        <v>#REF!</v>
      </c>
      <c r="BA33" t="e">
        <f>AND(#REF!,"AAAAAH/z+zQ=")</f>
        <v>#REF!</v>
      </c>
      <c r="BB33" t="e">
        <f>AND(#REF!,"AAAAAH/z+zU=")</f>
        <v>#REF!</v>
      </c>
      <c r="BC33" t="e">
        <f>AND(#REF!,"AAAAAH/z+zY=")</f>
        <v>#REF!</v>
      </c>
      <c r="BD33" t="e">
        <f>AND(#REF!,"AAAAAH/z+zc=")</f>
        <v>#REF!</v>
      </c>
      <c r="BE33" t="e">
        <f>AND(#REF!,"AAAAAH/z+zg=")</f>
        <v>#REF!</v>
      </c>
      <c r="BF33" t="e">
        <f>AND(#REF!,"AAAAAH/z+zk=")</f>
        <v>#REF!</v>
      </c>
      <c r="BG33" t="e">
        <f>AND(#REF!,"AAAAAH/z+zo=")</f>
        <v>#REF!</v>
      </c>
      <c r="BH33" t="e">
        <f>AND(#REF!,"AAAAAH/z+zs=")</f>
        <v>#REF!</v>
      </c>
      <c r="BI33" t="e">
        <f>AND(#REF!,"AAAAAH/z+zw=")</f>
        <v>#REF!</v>
      </c>
      <c r="BJ33" t="e">
        <f>AND(#REF!,"AAAAAH/z+z0=")</f>
        <v>#REF!</v>
      </c>
      <c r="BK33" t="e">
        <f>AND(#REF!,"AAAAAH/z+z4=")</f>
        <v>#REF!</v>
      </c>
      <c r="BL33" t="e">
        <f>AND(#REF!,"AAAAAH/z+z8=")</f>
        <v>#REF!</v>
      </c>
      <c r="BM33" t="e">
        <f>AND(#REF!,"AAAAAH/z+0A=")</f>
        <v>#REF!</v>
      </c>
      <c r="BN33" t="e">
        <f>IF(#REF!,"AAAAAH/z+0E=",0)</f>
        <v>#REF!</v>
      </c>
      <c r="BO33" t="e">
        <f>AND(#REF!,"AAAAAH/z+0I=")</f>
        <v>#REF!</v>
      </c>
      <c r="BP33" t="e">
        <f>AND(#REF!,"AAAAAH/z+0M=")</f>
        <v>#REF!</v>
      </c>
      <c r="BQ33" t="e">
        <f>AND(#REF!,"AAAAAH/z+0Q=")</f>
        <v>#REF!</v>
      </c>
      <c r="BR33" t="e">
        <f>AND(#REF!,"AAAAAH/z+0U=")</f>
        <v>#REF!</v>
      </c>
      <c r="BS33" t="e">
        <f>AND(#REF!,"AAAAAH/z+0Y=")</f>
        <v>#REF!</v>
      </c>
      <c r="BT33" t="e">
        <f>AND(#REF!,"AAAAAH/z+0c=")</f>
        <v>#REF!</v>
      </c>
      <c r="BU33" t="e">
        <f>AND(#REF!,"AAAAAH/z+0g=")</f>
        <v>#REF!</v>
      </c>
      <c r="BV33" t="e">
        <f>AND(#REF!,"AAAAAH/z+0k=")</f>
        <v>#REF!</v>
      </c>
      <c r="BW33" t="e">
        <f>AND(#REF!,"AAAAAH/z+0o=")</f>
        <v>#REF!</v>
      </c>
      <c r="BX33" t="e">
        <f>AND(#REF!,"AAAAAH/z+0s=")</f>
        <v>#REF!</v>
      </c>
      <c r="BY33" t="e">
        <f>AND(#REF!,"AAAAAH/z+0w=")</f>
        <v>#REF!</v>
      </c>
      <c r="BZ33" t="e">
        <f>AND(#REF!,"AAAAAH/z+00=")</f>
        <v>#REF!</v>
      </c>
      <c r="CA33" t="e">
        <f>AND(#REF!,"AAAAAH/z+04=")</f>
        <v>#REF!</v>
      </c>
      <c r="CB33" t="e">
        <f>IF(#REF!,"AAAAAH/z+08=",0)</f>
        <v>#REF!</v>
      </c>
      <c r="CC33" t="e">
        <f>AND(#REF!,"AAAAAH/z+1A=")</f>
        <v>#REF!</v>
      </c>
      <c r="CD33" t="e">
        <f>AND(#REF!,"AAAAAH/z+1E=")</f>
        <v>#REF!</v>
      </c>
      <c r="CE33" t="e">
        <f>AND(#REF!,"AAAAAH/z+1I=")</f>
        <v>#REF!</v>
      </c>
      <c r="CF33" t="e">
        <f>AND(#REF!,"AAAAAH/z+1M=")</f>
        <v>#REF!</v>
      </c>
      <c r="CG33" t="e">
        <f>AND(#REF!,"AAAAAH/z+1Q=")</f>
        <v>#REF!</v>
      </c>
      <c r="CH33" t="e">
        <f>AND(#REF!,"AAAAAH/z+1U=")</f>
        <v>#REF!</v>
      </c>
      <c r="CI33" t="e">
        <f>AND(#REF!,"AAAAAH/z+1Y=")</f>
        <v>#REF!</v>
      </c>
      <c r="CJ33" t="e">
        <f>AND(#REF!,"AAAAAH/z+1c=")</f>
        <v>#REF!</v>
      </c>
      <c r="CK33" t="e">
        <f>AND(#REF!,"AAAAAH/z+1g=")</f>
        <v>#REF!</v>
      </c>
      <c r="CL33" t="e">
        <f>AND(#REF!,"AAAAAH/z+1k=")</f>
        <v>#REF!</v>
      </c>
      <c r="CM33" t="e">
        <f>AND(#REF!,"AAAAAH/z+1o=")</f>
        <v>#REF!</v>
      </c>
      <c r="CN33" t="e">
        <f>AND(#REF!,"AAAAAH/z+1s=")</f>
        <v>#REF!</v>
      </c>
      <c r="CO33" t="e">
        <f>AND(#REF!,"AAAAAH/z+1w=")</f>
        <v>#REF!</v>
      </c>
      <c r="CP33" t="e">
        <f>IF(#REF!,"AAAAAH/z+10=",0)</f>
        <v>#REF!</v>
      </c>
      <c r="CQ33" t="e">
        <f>AND(#REF!,"AAAAAH/z+14=")</f>
        <v>#REF!</v>
      </c>
      <c r="CR33" t="e">
        <f>AND(#REF!,"AAAAAH/z+18=")</f>
        <v>#REF!</v>
      </c>
      <c r="CS33" t="e">
        <f>AND(#REF!,"AAAAAH/z+2A=")</f>
        <v>#REF!</v>
      </c>
      <c r="CT33" t="e">
        <f>AND(#REF!,"AAAAAH/z+2E=")</f>
        <v>#REF!</v>
      </c>
      <c r="CU33" t="e">
        <f>AND(#REF!,"AAAAAH/z+2I=")</f>
        <v>#REF!</v>
      </c>
      <c r="CV33" t="e">
        <f>AND(#REF!,"AAAAAH/z+2M=")</f>
        <v>#REF!</v>
      </c>
      <c r="CW33" t="e">
        <f>AND(#REF!,"AAAAAH/z+2Q=")</f>
        <v>#REF!</v>
      </c>
      <c r="CX33" t="e">
        <f>AND(#REF!,"AAAAAH/z+2U=")</f>
        <v>#REF!</v>
      </c>
      <c r="CY33" t="e">
        <f>AND(#REF!,"AAAAAH/z+2Y=")</f>
        <v>#REF!</v>
      </c>
      <c r="CZ33" t="e">
        <f>AND(#REF!,"AAAAAH/z+2c=")</f>
        <v>#REF!</v>
      </c>
      <c r="DA33" t="e">
        <f>AND(#REF!,"AAAAAH/z+2g=")</f>
        <v>#REF!</v>
      </c>
      <c r="DB33" t="e">
        <f>AND(#REF!,"AAAAAH/z+2k=")</f>
        <v>#REF!</v>
      </c>
      <c r="DC33" t="e">
        <f>AND(#REF!,"AAAAAH/z+2o=")</f>
        <v>#REF!</v>
      </c>
      <c r="DD33" t="e">
        <f>IF(#REF!,"AAAAAH/z+2s=",0)</f>
        <v>#REF!</v>
      </c>
      <c r="DE33" t="e">
        <f>AND(#REF!,"AAAAAH/z+2w=")</f>
        <v>#REF!</v>
      </c>
      <c r="DF33" t="e">
        <f>AND(#REF!,"AAAAAH/z+20=")</f>
        <v>#REF!</v>
      </c>
      <c r="DG33" t="e">
        <f>AND(#REF!,"AAAAAH/z+24=")</f>
        <v>#REF!</v>
      </c>
      <c r="DH33" t="e">
        <f>AND(#REF!,"AAAAAH/z+28=")</f>
        <v>#REF!</v>
      </c>
      <c r="DI33" t="e">
        <f>AND(#REF!,"AAAAAH/z+3A=")</f>
        <v>#REF!</v>
      </c>
      <c r="DJ33" t="e">
        <f>AND(#REF!,"AAAAAH/z+3E=")</f>
        <v>#REF!</v>
      </c>
      <c r="DK33" t="e">
        <f>AND(#REF!,"AAAAAH/z+3I=")</f>
        <v>#REF!</v>
      </c>
      <c r="DL33" t="e">
        <f>AND(#REF!,"AAAAAH/z+3M=")</f>
        <v>#REF!</v>
      </c>
      <c r="DM33" t="e">
        <f>AND(#REF!,"AAAAAH/z+3Q=")</f>
        <v>#REF!</v>
      </c>
      <c r="DN33" t="e">
        <f>AND(#REF!,"AAAAAH/z+3U=")</f>
        <v>#REF!</v>
      </c>
      <c r="DO33" t="e">
        <f>AND(#REF!,"AAAAAH/z+3Y=")</f>
        <v>#REF!</v>
      </c>
      <c r="DP33" t="e">
        <f>AND(#REF!,"AAAAAH/z+3c=")</f>
        <v>#REF!</v>
      </c>
      <c r="DQ33" t="e">
        <f>AND(#REF!,"AAAAAH/z+3g=")</f>
        <v>#REF!</v>
      </c>
      <c r="DR33" t="e">
        <f>IF(#REF!,"AAAAAH/z+3k=",0)</f>
        <v>#REF!</v>
      </c>
      <c r="DS33" t="e">
        <f>AND(#REF!,"AAAAAH/z+3o=")</f>
        <v>#REF!</v>
      </c>
      <c r="DT33" t="e">
        <f>AND(#REF!,"AAAAAH/z+3s=")</f>
        <v>#REF!</v>
      </c>
      <c r="DU33" t="e">
        <f>AND(#REF!,"AAAAAH/z+3w=")</f>
        <v>#REF!</v>
      </c>
      <c r="DV33" t="e">
        <f>AND(#REF!,"AAAAAH/z+30=")</f>
        <v>#REF!</v>
      </c>
      <c r="DW33" t="e">
        <f>AND(#REF!,"AAAAAH/z+34=")</f>
        <v>#REF!</v>
      </c>
      <c r="DX33" t="e">
        <f>AND(#REF!,"AAAAAH/z+38=")</f>
        <v>#REF!</v>
      </c>
      <c r="DY33" t="e">
        <f>AND(#REF!,"AAAAAH/z+4A=")</f>
        <v>#REF!</v>
      </c>
      <c r="DZ33" t="e">
        <f>AND(#REF!,"AAAAAH/z+4E=")</f>
        <v>#REF!</v>
      </c>
      <c r="EA33" t="e">
        <f>AND(#REF!,"AAAAAH/z+4I=")</f>
        <v>#REF!</v>
      </c>
      <c r="EB33" t="e">
        <f>AND(#REF!,"AAAAAH/z+4M=")</f>
        <v>#REF!</v>
      </c>
      <c r="EC33" t="e">
        <f>AND(#REF!,"AAAAAH/z+4Q=")</f>
        <v>#REF!</v>
      </c>
      <c r="ED33" t="e">
        <f>AND(#REF!,"AAAAAH/z+4U=")</f>
        <v>#REF!</v>
      </c>
      <c r="EE33" t="e">
        <f>AND(#REF!,"AAAAAH/z+4Y=")</f>
        <v>#REF!</v>
      </c>
      <c r="EF33" t="e">
        <f>IF(#REF!,"AAAAAH/z+4c=",0)</f>
        <v>#REF!</v>
      </c>
      <c r="EG33" t="e">
        <f>AND(#REF!,"AAAAAH/z+4g=")</f>
        <v>#REF!</v>
      </c>
      <c r="EH33" t="e">
        <f>AND(#REF!,"AAAAAH/z+4k=")</f>
        <v>#REF!</v>
      </c>
      <c r="EI33" t="e">
        <f>AND(#REF!,"AAAAAH/z+4o=")</f>
        <v>#REF!</v>
      </c>
      <c r="EJ33" t="e">
        <f>AND(#REF!,"AAAAAH/z+4s=")</f>
        <v>#REF!</v>
      </c>
      <c r="EK33" t="e">
        <f>AND(#REF!,"AAAAAH/z+4w=")</f>
        <v>#REF!</v>
      </c>
      <c r="EL33" t="e">
        <f>AND(#REF!,"AAAAAH/z+40=")</f>
        <v>#REF!</v>
      </c>
      <c r="EM33" t="e">
        <f>AND(#REF!,"AAAAAH/z+44=")</f>
        <v>#REF!</v>
      </c>
      <c r="EN33" t="e">
        <f>AND(#REF!,"AAAAAH/z+48=")</f>
        <v>#REF!</v>
      </c>
      <c r="EO33" t="e">
        <f>AND(#REF!,"AAAAAH/z+5A=")</f>
        <v>#REF!</v>
      </c>
      <c r="EP33" t="e">
        <f>AND(#REF!,"AAAAAH/z+5E=")</f>
        <v>#REF!</v>
      </c>
      <c r="EQ33" t="e">
        <f>AND(#REF!,"AAAAAH/z+5I=")</f>
        <v>#REF!</v>
      </c>
      <c r="ER33" t="e">
        <f>AND(#REF!,"AAAAAH/z+5M=")</f>
        <v>#REF!</v>
      </c>
      <c r="ES33" t="e">
        <f>AND(#REF!,"AAAAAH/z+5Q=")</f>
        <v>#REF!</v>
      </c>
      <c r="ET33" t="e">
        <f>IF(#REF!,"AAAAAH/z+5U=",0)</f>
        <v>#REF!</v>
      </c>
      <c r="EU33" t="e">
        <f>AND(#REF!,"AAAAAH/z+5Y=")</f>
        <v>#REF!</v>
      </c>
      <c r="EV33" t="e">
        <f>AND(#REF!,"AAAAAH/z+5c=")</f>
        <v>#REF!</v>
      </c>
      <c r="EW33" t="e">
        <f>AND(#REF!,"AAAAAH/z+5g=")</f>
        <v>#REF!</v>
      </c>
      <c r="EX33" t="e">
        <f>AND(#REF!,"AAAAAH/z+5k=")</f>
        <v>#REF!</v>
      </c>
      <c r="EY33" t="e">
        <f>AND(#REF!,"AAAAAH/z+5o=")</f>
        <v>#REF!</v>
      </c>
      <c r="EZ33" t="e">
        <f>AND(#REF!,"AAAAAH/z+5s=")</f>
        <v>#REF!</v>
      </c>
      <c r="FA33" t="e">
        <f>AND(#REF!,"AAAAAH/z+5w=")</f>
        <v>#REF!</v>
      </c>
      <c r="FB33" t="e">
        <f>AND(#REF!,"AAAAAH/z+50=")</f>
        <v>#REF!</v>
      </c>
      <c r="FC33" t="e">
        <f>AND(#REF!,"AAAAAH/z+54=")</f>
        <v>#REF!</v>
      </c>
      <c r="FD33" t="e">
        <f>AND(#REF!,"AAAAAH/z+58=")</f>
        <v>#REF!</v>
      </c>
      <c r="FE33" t="e">
        <f>AND(#REF!,"AAAAAH/z+6A=")</f>
        <v>#REF!</v>
      </c>
      <c r="FF33" t="e">
        <f>AND(#REF!,"AAAAAH/z+6E=")</f>
        <v>#REF!</v>
      </c>
      <c r="FG33" t="e">
        <f>AND(#REF!,"AAAAAH/z+6I=")</f>
        <v>#REF!</v>
      </c>
      <c r="FH33" t="e">
        <f>IF(#REF!,"AAAAAH/z+6M=",0)</f>
        <v>#REF!</v>
      </c>
      <c r="FI33" t="e">
        <f>AND(#REF!,"AAAAAH/z+6Q=")</f>
        <v>#REF!</v>
      </c>
      <c r="FJ33" t="e">
        <f>AND(#REF!,"AAAAAH/z+6U=")</f>
        <v>#REF!</v>
      </c>
      <c r="FK33" t="e">
        <f>AND(#REF!,"AAAAAH/z+6Y=")</f>
        <v>#REF!</v>
      </c>
      <c r="FL33" t="e">
        <f>AND(#REF!,"AAAAAH/z+6c=")</f>
        <v>#REF!</v>
      </c>
      <c r="FM33" t="e">
        <f>AND(#REF!,"AAAAAH/z+6g=")</f>
        <v>#REF!</v>
      </c>
      <c r="FN33" t="e">
        <f>AND(#REF!,"AAAAAH/z+6k=")</f>
        <v>#REF!</v>
      </c>
      <c r="FO33" t="e">
        <f>AND(#REF!,"AAAAAH/z+6o=")</f>
        <v>#REF!</v>
      </c>
      <c r="FP33" t="e">
        <f>AND(#REF!,"AAAAAH/z+6s=")</f>
        <v>#REF!</v>
      </c>
      <c r="FQ33" t="e">
        <f>AND(#REF!,"AAAAAH/z+6w=")</f>
        <v>#REF!</v>
      </c>
      <c r="FR33" t="e">
        <f>AND(#REF!,"AAAAAH/z+60=")</f>
        <v>#REF!</v>
      </c>
      <c r="FS33" t="e">
        <f>AND(#REF!,"AAAAAH/z+64=")</f>
        <v>#REF!</v>
      </c>
      <c r="FT33" t="e">
        <f>AND(#REF!,"AAAAAH/z+68=")</f>
        <v>#REF!</v>
      </c>
      <c r="FU33" t="e">
        <f>AND(#REF!,"AAAAAH/z+7A=")</f>
        <v>#REF!</v>
      </c>
      <c r="FV33" t="e">
        <f>IF(#REF!,"AAAAAH/z+7E=",0)</f>
        <v>#REF!</v>
      </c>
      <c r="FW33" t="e">
        <f>AND(#REF!,"AAAAAH/z+7I=")</f>
        <v>#REF!</v>
      </c>
      <c r="FX33" t="e">
        <f>AND(#REF!,"AAAAAH/z+7M=")</f>
        <v>#REF!</v>
      </c>
      <c r="FY33" t="e">
        <f>AND(#REF!,"AAAAAH/z+7Q=")</f>
        <v>#REF!</v>
      </c>
      <c r="FZ33" t="e">
        <f>AND(#REF!,"AAAAAH/z+7U=")</f>
        <v>#REF!</v>
      </c>
      <c r="GA33" t="e">
        <f>AND(#REF!,"AAAAAH/z+7Y=")</f>
        <v>#REF!</v>
      </c>
      <c r="GB33" t="e">
        <f>AND(#REF!,"AAAAAH/z+7c=")</f>
        <v>#REF!</v>
      </c>
      <c r="GC33" t="e">
        <f>AND(#REF!,"AAAAAH/z+7g=")</f>
        <v>#REF!</v>
      </c>
      <c r="GD33" t="e">
        <f>AND(#REF!,"AAAAAH/z+7k=")</f>
        <v>#REF!</v>
      </c>
      <c r="GE33" t="e">
        <f>AND(#REF!,"AAAAAH/z+7o=")</f>
        <v>#REF!</v>
      </c>
      <c r="GF33" t="e">
        <f>AND(#REF!,"AAAAAH/z+7s=")</f>
        <v>#REF!</v>
      </c>
      <c r="GG33" t="e">
        <f>AND(#REF!,"AAAAAH/z+7w=")</f>
        <v>#REF!</v>
      </c>
      <c r="GH33" t="e">
        <f>AND(#REF!,"AAAAAH/z+70=")</f>
        <v>#REF!</v>
      </c>
      <c r="GI33" t="e">
        <f>AND(#REF!,"AAAAAH/z+74=")</f>
        <v>#REF!</v>
      </c>
      <c r="GJ33" t="e">
        <f>IF(#REF!,"AAAAAH/z+78=",0)</f>
        <v>#REF!</v>
      </c>
      <c r="GK33" t="e">
        <f>AND(#REF!,"AAAAAH/z+8A=")</f>
        <v>#REF!</v>
      </c>
      <c r="GL33" t="e">
        <f>AND(#REF!,"AAAAAH/z+8E=")</f>
        <v>#REF!</v>
      </c>
      <c r="GM33" t="e">
        <f>AND(#REF!,"AAAAAH/z+8I=")</f>
        <v>#REF!</v>
      </c>
      <c r="GN33" t="e">
        <f>AND(#REF!,"AAAAAH/z+8M=")</f>
        <v>#REF!</v>
      </c>
      <c r="GO33" t="e">
        <f>AND(#REF!,"AAAAAH/z+8Q=")</f>
        <v>#REF!</v>
      </c>
      <c r="GP33" t="e">
        <f>AND(#REF!,"AAAAAH/z+8U=")</f>
        <v>#REF!</v>
      </c>
      <c r="GQ33" t="e">
        <f>AND(#REF!,"AAAAAH/z+8Y=")</f>
        <v>#REF!</v>
      </c>
      <c r="GR33" t="e">
        <f>AND(#REF!,"AAAAAH/z+8c=")</f>
        <v>#REF!</v>
      </c>
      <c r="GS33" t="e">
        <f>AND(#REF!,"AAAAAH/z+8g=")</f>
        <v>#REF!</v>
      </c>
      <c r="GT33" t="e">
        <f>AND(#REF!,"AAAAAH/z+8k=")</f>
        <v>#REF!</v>
      </c>
      <c r="GU33" t="e">
        <f>AND(#REF!,"AAAAAH/z+8o=")</f>
        <v>#REF!</v>
      </c>
      <c r="GV33" t="e">
        <f>AND(#REF!,"AAAAAH/z+8s=")</f>
        <v>#REF!</v>
      </c>
      <c r="GW33" t="e">
        <f>AND(#REF!,"AAAAAH/z+8w=")</f>
        <v>#REF!</v>
      </c>
      <c r="GX33" t="e">
        <f>IF(#REF!,"AAAAAH/z+80=",0)</f>
        <v>#REF!</v>
      </c>
      <c r="GY33" t="e">
        <f>AND(#REF!,"AAAAAH/z+84=")</f>
        <v>#REF!</v>
      </c>
      <c r="GZ33" t="e">
        <f>AND(#REF!,"AAAAAH/z+88=")</f>
        <v>#REF!</v>
      </c>
      <c r="HA33" t="e">
        <f>AND(#REF!,"AAAAAH/z+9A=")</f>
        <v>#REF!</v>
      </c>
      <c r="HB33" t="e">
        <f>AND(#REF!,"AAAAAH/z+9E=")</f>
        <v>#REF!</v>
      </c>
      <c r="HC33" t="e">
        <f>AND(#REF!,"AAAAAH/z+9I=")</f>
        <v>#REF!</v>
      </c>
      <c r="HD33" t="e">
        <f>AND(#REF!,"AAAAAH/z+9M=")</f>
        <v>#REF!</v>
      </c>
      <c r="HE33" t="e">
        <f>AND(#REF!,"AAAAAH/z+9Q=")</f>
        <v>#REF!</v>
      </c>
      <c r="HF33" t="e">
        <f>AND(#REF!,"AAAAAH/z+9U=")</f>
        <v>#REF!</v>
      </c>
      <c r="HG33" t="e">
        <f>AND(#REF!,"AAAAAH/z+9Y=")</f>
        <v>#REF!</v>
      </c>
      <c r="HH33" t="e">
        <f>AND(#REF!,"AAAAAH/z+9c=")</f>
        <v>#REF!</v>
      </c>
      <c r="HI33" t="e">
        <f>AND(#REF!,"AAAAAH/z+9g=")</f>
        <v>#REF!</v>
      </c>
      <c r="HJ33" t="e">
        <f>AND(#REF!,"AAAAAH/z+9k=")</f>
        <v>#REF!</v>
      </c>
      <c r="HK33" t="e">
        <f>AND(#REF!,"AAAAAH/z+9o=")</f>
        <v>#REF!</v>
      </c>
      <c r="HL33" t="e">
        <f>IF(#REF!,"AAAAAH/z+9s=",0)</f>
        <v>#REF!</v>
      </c>
      <c r="HM33" t="e">
        <f>AND(#REF!,"AAAAAH/z+9w=")</f>
        <v>#REF!</v>
      </c>
      <c r="HN33" t="e">
        <f>AND(#REF!,"AAAAAH/z+90=")</f>
        <v>#REF!</v>
      </c>
      <c r="HO33" t="e">
        <f>AND(#REF!,"AAAAAH/z+94=")</f>
        <v>#REF!</v>
      </c>
      <c r="HP33" t="e">
        <f>AND(#REF!,"AAAAAH/z+98=")</f>
        <v>#REF!</v>
      </c>
      <c r="HQ33" t="e">
        <f>AND(#REF!,"AAAAAH/z++A=")</f>
        <v>#REF!</v>
      </c>
      <c r="HR33" t="e">
        <f>AND(#REF!,"AAAAAH/z++E=")</f>
        <v>#REF!</v>
      </c>
      <c r="HS33" t="e">
        <f>AND(#REF!,"AAAAAH/z++I=")</f>
        <v>#REF!</v>
      </c>
      <c r="HT33" t="e">
        <f>AND(#REF!,"AAAAAH/z++M=")</f>
        <v>#REF!</v>
      </c>
      <c r="HU33" t="e">
        <f>AND(#REF!,"AAAAAH/z++Q=")</f>
        <v>#REF!</v>
      </c>
      <c r="HV33" t="e">
        <f>AND(#REF!,"AAAAAH/z++U=")</f>
        <v>#REF!</v>
      </c>
      <c r="HW33" t="e">
        <f>AND(#REF!,"AAAAAH/z++Y=")</f>
        <v>#REF!</v>
      </c>
      <c r="HX33" t="e">
        <f>AND(#REF!,"AAAAAH/z++c=")</f>
        <v>#REF!</v>
      </c>
      <c r="HY33" t="e">
        <f>AND(#REF!,"AAAAAH/z++g=")</f>
        <v>#REF!</v>
      </c>
      <c r="HZ33" t="e">
        <f>IF(#REF!,"AAAAAH/z++k=",0)</f>
        <v>#REF!</v>
      </c>
      <c r="IA33" t="e">
        <f>AND(#REF!,"AAAAAH/z++o=")</f>
        <v>#REF!</v>
      </c>
      <c r="IB33" t="e">
        <f>AND(#REF!,"AAAAAH/z++s=")</f>
        <v>#REF!</v>
      </c>
      <c r="IC33" t="e">
        <f>AND(#REF!,"AAAAAH/z++w=")</f>
        <v>#REF!</v>
      </c>
      <c r="ID33" t="e">
        <f>AND(#REF!,"AAAAAH/z++0=")</f>
        <v>#REF!</v>
      </c>
      <c r="IE33" t="e">
        <f>AND(#REF!,"AAAAAH/z++4=")</f>
        <v>#REF!</v>
      </c>
      <c r="IF33" t="e">
        <f>AND(#REF!,"AAAAAH/z++8=")</f>
        <v>#REF!</v>
      </c>
      <c r="IG33" t="e">
        <f>AND(#REF!,"AAAAAH/z+/A=")</f>
        <v>#REF!</v>
      </c>
      <c r="IH33" t="e">
        <f>AND(#REF!,"AAAAAH/z+/E=")</f>
        <v>#REF!</v>
      </c>
      <c r="II33" t="e">
        <f>AND(#REF!,"AAAAAH/z+/I=")</f>
        <v>#REF!</v>
      </c>
      <c r="IJ33" t="e">
        <f>AND(#REF!,"AAAAAH/z+/M=")</f>
        <v>#REF!</v>
      </c>
      <c r="IK33" t="e">
        <f>AND(#REF!,"AAAAAH/z+/Q=")</f>
        <v>#REF!</v>
      </c>
      <c r="IL33" t="e">
        <f>AND(#REF!,"AAAAAH/z+/U=")</f>
        <v>#REF!</v>
      </c>
      <c r="IM33" t="e">
        <f>AND(#REF!,"AAAAAH/z+/Y=")</f>
        <v>#REF!</v>
      </c>
      <c r="IN33" t="e">
        <f>IF(#REF!,"AAAAAH/z+/c=",0)</f>
        <v>#REF!</v>
      </c>
      <c r="IO33" t="e">
        <f>AND(#REF!,"AAAAAH/z+/g=")</f>
        <v>#REF!</v>
      </c>
      <c r="IP33" t="e">
        <f>AND(#REF!,"AAAAAH/z+/k=")</f>
        <v>#REF!</v>
      </c>
      <c r="IQ33" t="e">
        <f>AND(#REF!,"AAAAAH/z+/o=")</f>
        <v>#REF!</v>
      </c>
      <c r="IR33" t="e">
        <f>AND(#REF!,"AAAAAH/z+/s=")</f>
        <v>#REF!</v>
      </c>
      <c r="IS33" t="e">
        <f>AND(#REF!,"AAAAAH/z+/w=")</f>
        <v>#REF!</v>
      </c>
      <c r="IT33" t="e">
        <f>AND(#REF!,"AAAAAH/z+/0=")</f>
        <v>#REF!</v>
      </c>
      <c r="IU33" t="e">
        <f>AND(#REF!,"AAAAAH/z+/4=")</f>
        <v>#REF!</v>
      </c>
      <c r="IV33" t="e">
        <f>AND(#REF!,"AAAAAH/z+/8=")</f>
        <v>#REF!</v>
      </c>
    </row>
    <row r="34" spans="1:256" x14ac:dyDescent="0.2">
      <c r="A34" t="e">
        <f>AND(#REF!,"AAAAAG346gA=")</f>
        <v>#REF!</v>
      </c>
      <c r="B34" t="e">
        <f>AND(#REF!,"AAAAAG346gE=")</f>
        <v>#REF!</v>
      </c>
      <c r="C34" t="e">
        <f>AND(#REF!,"AAAAAG346gI=")</f>
        <v>#REF!</v>
      </c>
      <c r="D34" t="e">
        <f>AND(#REF!,"AAAAAG346gM=")</f>
        <v>#REF!</v>
      </c>
      <c r="E34" t="e">
        <f>AND(#REF!,"AAAAAG346gQ=")</f>
        <v>#REF!</v>
      </c>
      <c r="F34" t="e">
        <f>IF(#REF!,"AAAAAG346gU=",0)</f>
        <v>#REF!</v>
      </c>
      <c r="G34" t="e">
        <f>AND(#REF!,"AAAAAG346gY=")</f>
        <v>#REF!</v>
      </c>
      <c r="H34" t="e">
        <f>AND(#REF!,"AAAAAG346gc=")</f>
        <v>#REF!</v>
      </c>
      <c r="I34" t="e">
        <f>AND(#REF!,"AAAAAG346gg=")</f>
        <v>#REF!</v>
      </c>
      <c r="J34" t="e">
        <f>AND(#REF!,"AAAAAG346gk=")</f>
        <v>#REF!</v>
      </c>
      <c r="K34" t="e">
        <f>AND(#REF!,"AAAAAG346go=")</f>
        <v>#REF!</v>
      </c>
      <c r="L34" t="e">
        <f>AND(#REF!,"AAAAAG346gs=")</f>
        <v>#REF!</v>
      </c>
      <c r="M34" t="e">
        <f>AND(#REF!,"AAAAAG346gw=")</f>
        <v>#REF!</v>
      </c>
      <c r="N34" t="e">
        <f>AND(#REF!,"AAAAAG346g0=")</f>
        <v>#REF!</v>
      </c>
      <c r="O34" t="e">
        <f>AND(#REF!,"AAAAAG346g4=")</f>
        <v>#REF!</v>
      </c>
      <c r="P34" t="e">
        <f>AND(#REF!,"AAAAAG346g8=")</f>
        <v>#REF!</v>
      </c>
      <c r="Q34" t="e">
        <f>AND(#REF!,"AAAAAG346hA=")</f>
        <v>#REF!</v>
      </c>
      <c r="R34" t="e">
        <f>AND(#REF!,"AAAAAG346hE=")</f>
        <v>#REF!</v>
      </c>
      <c r="S34" t="e">
        <f>AND(#REF!,"AAAAAG346hI=")</f>
        <v>#REF!</v>
      </c>
      <c r="T34" t="e">
        <f>IF(#REF!,"AAAAAG346hM=",0)</f>
        <v>#REF!</v>
      </c>
      <c r="U34" t="e">
        <f>AND(#REF!,"AAAAAG346hQ=")</f>
        <v>#REF!</v>
      </c>
      <c r="V34" t="e">
        <f>AND(#REF!,"AAAAAG346hU=")</f>
        <v>#REF!</v>
      </c>
      <c r="W34" t="e">
        <f>AND(#REF!,"AAAAAG346hY=")</f>
        <v>#REF!</v>
      </c>
      <c r="X34" t="e">
        <f>AND(#REF!,"AAAAAG346hc=")</f>
        <v>#REF!</v>
      </c>
      <c r="Y34" t="e">
        <f>AND(#REF!,"AAAAAG346hg=")</f>
        <v>#REF!</v>
      </c>
      <c r="Z34" t="e">
        <f>AND(#REF!,"AAAAAG346hk=")</f>
        <v>#REF!</v>
      </c>
      <c r="AA34" t="e">
        <f>AND(#REF!,"AAAAAG346ho=")</f>
        <v>#REF!</v>
      </c>
      <c r="AB34" t="e">
        <f>AND(#REF!,"AAAAAG346hs=")</f>
        <v>#REF!</v>
      </c>
      <c r="AC34" t="e">
        <f>AND(#REF!,"AAAAAG346hw=")</f>
        <v>#REF!</v>
      </c>
      <c r="AD34" t="e">
        <f>AND(#REF!,"AAAAAG346h0=")</f>
        <v>#REF!</v>
      </c>
      <c r="AE34" t="e">
        <f>AND(#REF!,"AAAAAG346h4=")</f>
        <v>#REF!</v>
      </c>
      <c r="AF34" t="e">
        <f>AND(#REF!,"AAAAAG346h8=")</f>
        <v>#REF!</v>
      </c>
      <c r="AG34" t="e">
        <f>AND(#REF!,"AAAAAG346iA=")</f>
        <v>#REF!</v>
      </c>
      <c r="AH34" t="e">
        <f>IF(#REF!,"AAAAAG346iE=",0)</f>
        <v>#REF!</v>
      </c>
      <c r="AI34" t="e">
        <f>AND(#REF!,"AAAAAG346iI=")</f>
        <v>#REF!</v>
      </c>
      <c r="AJ34" t="e">
        <f>AND(#REF!,"AAAAAG346iM=")</f>
        <v>#REF!</v>
      </c>
      <c r="AK34" t="e">
        <f>AND(#REF!,"AAAAAG346iQ=")</f>
        <v>#REF!</v>
      </c>
      <c r="AL34" t="e">
        <f>AND(#REF!,"AAAAAG346iU=")</f>
        <v>#REF!</v>
      </c>
      <c r="AM34" t="e">
        <f>AND(#REF!,"AAAAAG346iY=")</f>
        <v>#REF!</v>
      </c>
      <c r="AN34" t="e">
        <f>AND(#REF!,"AAAAAG346ic=")</f>
        <v>#REF!</v>
      </c>
      <c r="AO34" t="e">
        <f>AND(#REF!,"AAAAAG346ig=")</f>
        <v>#REF!</v>
      </c>
      <c r="AP34" t="e">
        <f>AND(#REF!,"AAAAAG346ik=")</f>
        <v>#REF!</v>
      </c>
      <c r="AQ34" t="e">
        <f>AND(#REF!,"AAAAAG346io=")</f>
        <v>#REF!</v>
      </c>
      <c r="AR34" t="e">
        <f>AND(#REF!,"AAAAAG346is=")</f>
        <v>#REF!</v>
      </c>
      <c r="AS34" t="e">
        <f>AND(#REF!,"AAAAAG346iw=")</f>
        <v>#REF!</v>
      </c>
      <c r="AT34" t="e">
        <f>AND(#REF!,"AAAAAG346i0=")</f>
        <v>#REF!</v>
      </c>
      <c r="AU34" t="e">
        <f>AND(#REF!,"AAAAAG346i4=")</f>
        <v>#REF!</v>
      </c>
      <c r="AV34" t="e">
        <f>IF(#REF!,"AAAAAG346i8=",0)</f>
        <v>#REF!</v>
      </c>
      <c r="AW34" t="e">
        <f>AND(#REF!,"AAAAAG346jA=")</f>
        <v>#REF!</v>
      </c>
      <c r="AX34" t="e">
        <f>AND(#REF!,"AAAAAG346jE=")</f>
        <v>#REF!</v>
      </c>
      <c r="AY34" t="e">
        <f>AND(#REF!,"AAAAAG346jI=")</f>
        <v>#REF!</v>
      </c>
      <c r="AZ34" t="e">
        <f>AND(#REF!,"AAAAAG346jM=")</f>
        <v>#REF!</v>
      </c>
      <c r="BA34" t="e">
        <f>AND(#REF!,"AAAAAG346jQ=")</f>
        <v>#REF!</v>
      </c>
      <c r="BB34" t="e">
        <f>AND(#REF!,"AAAAAG346jU=")</f>
        <v>#REF!</v>
      </c>
      <c r="BC34" t="e">
        <f>AND(#REF!,"AAAAAG346jY=")</f>
        <v>#REF!</v>
      </c>
      <c r="BD34" t="e">
        <f>AND(#REF!,"AAAAAG346jc=")</f>
        <v>#REF!</v>
      </c>
      <c r="BE34" t="e">
        <f>AND(#REF!,"AAAAAG346jg=")</f>
        <v>#REF!</v>
      </c>
      <c r="BF34" t="e">
        <f>AND(#REF!,"AAAAAG346jk=")</f>
        <v>#REF!</v>
      </c>
      <c r="BG34" t="e">
        <f>AND(#REF!,"AAAAAG346jo=")</f>
        <v>#REF!</v>
      </c>
      <c r="BH34" t="e">
        <f>AND(#REF!,"AAAAAG346js=")</f>
        <v>#REF!</v>
      </c>
      <c r="BI34" t="e">
        <f>AND(#REF!,"AAAAAG346jw=")</f>
        <v>#REF!</v>
      </c>
      <c r="BJ34" t="e">
        <f>IF(#REF!,"AAAAAG346j0=",0)</f>
        <v>#REF!</v>
      </c>
      <c r="BK34" t="e">
        <f>AND(#REF!,"AAAAAG346j4=")</f>
        <v>#REF!</v>
      </c>
      <c r="BL34" t="e">
        <f>AND(#REF!,"AAAAAG346j8=")</f>
        <v>#REF!</v>
      </c>
      <c r="BM34" t="e">
        <f>AND(#REF!,"AAAAAG346kA=")</f>
        <v>#REF!</v>
      </c>
      <c r="BN34" t="e">
        <f>AND(#REF!,"AAAAAG346kE=")</f>
        <v>#REF!</v>
      </c>
      <c r="BO34" t="e">
        <f>AND(#REF!,"AAAAAG346kI=")</f>
        <v>#REF!</v>
      </c>
      <c r="BP34" t="e">
        <f>AND(#REF!,"AAAAAG346kM=")</f>
        <v>#REF!</v>
      </c>
      <c r="BQ34" t="e">
        <f>AND(#REF!,"AAAAAG346kQ=")</f>
        <v>#REF!</v>
      </c>
      <c r="BR34" t="e">
        <f>AND(#REF!,"AAAAAG346kU=")</f>
        <v>#REF!</v>
      </c>
      <c r="BS34" t="e">
        <f>AND(#REF!,"AAAAAG346kY=")</f>
        <v>#REF!</v>
      </c>
      <c r="BT34" t="e">
        <f>AND(#REF!,"AAAAAG346kc=")</f>
        <v>#REF!</v>
      </c>
      <c r="BU34" t="e">
        <f>AND(#REF!,"AAAAAG346kg=")</f>
        <v>#REF!</v>
      </c>
      <c r="BV34" t="e">
        <f>AND(#REF!,"AAAAAG346kk=")</f>
        <v>#REF!</v>
      </c>
      <c r="BW34" t="e">
        <f>AND(#REF!,"AAAAAG346ko=")</f>
        <v>#REF!</v>
      </c>
      <c r="BX34" t="e">
        <f>IF(#REF!,"AAAAAG346ks=",0)</f>
        <v>#REF!</v>
      </c>
      <c r="BY34" t="e">
        <f>AND(#REF!,"AAAAAG346kw=")</f>
        <v>#REF!</v>
      </c>
      <c r="BZ34" t="e">
        <f>AND(#REF!,"AAAAAG346k0=")</f>
        <v>#REF!</v>
      </c>
      <c r="CA34" t="e">
        <f>AND(#REF!,"AAAAAG346k4=")</f>
        <v>#REF!</v>
      </c>
      <c r="CB34" t="e">
        <f>AND(#REF!,"AAAAAG346k8=")</f>
        <v>#REF!</v>
      </c>
      <c r="CC34" t="e">
        <f>AND(#REF!,"AAAAAG346lA=")</f>
        <v>#REF!</v>
      </c>
      <c r="CD34" t="e">
        <f>AND(#REF!,"AAAAAG346lE=")</f>
        <v>#REF!</v>
      </c>
      <c r="CE34" t="e">
        <f>AND(#REF!,"AAAAAG346lI=")</f>
        <v>#REF!</v>
      </c>
      <c r="CF34" t="e">
        <f>AND(#REF!,"AAAAAG346lM=")</f>
        <v>#REF!</v>
      </c>
      <c r="CG34" t="e">
        <f>AND(#REF!,"AAAAAG346lQ=")</f>
        <v>#REF!</v>
      </c>
      <c r="CH34" t="e">
        <f>AND(#REF!,"AAAAAG346lU=")</f>
        <v>#REF!</v>
      </c>
      <c r="CI34" t="e">
        <f>AND(#REF!,"AAAAAG346lY=")</f>
        <v>#REF!</v>
      </c>
      <c r="CJ34" t="e">
        <f>AND(#REF!,"AAAAAG346lc=")</f>
        <v>#REF!</v>
      </c>
      <c r="CK34" t="e">
        <f>AND(#REF!,"AAAAAG346lg=")</f>
        <v>#REF!</v>
      </c>
      <c r="CL34" t="e">
        <f>IF(#REF!,"AAAAAG346lk=",0)</f>
        <v>#REF!</v>
      </c>
      <c r="CM34" t="e">
        <f>AND(#REF!,"AAAAAG346lo=")</f>
        <v>#REF!</v>
      </c>
      <c r="CN34" t="e">
        <f>AND(#REF!,"AAAAAG346ls=")</f>
        <v>#REF!</v>
      </c>
      <c r="CO34" t="e">
        <f>AND(#REF!,"AAAAAG346lw=")</f>
        <v>#REF!</v>
      </c>
      <c r="CP34" t="e">
        <f>AND(#REF!,"AAAAAG346l0=")</f>
        <v>#REF!</v>
      </c>
      <c r="CQ34" t="e">
        <f>AND(#REF!,"AAAAAG346l4=")</f>
        <v>#REF!</v>
      </c>
      <c r="CR34" t="e">
        <f>AND(#REF!,"AAAAAG346l8=")</f>
        <v>#REF!</v>
      </c>
      <c r="CS34" t="e">
        <f>AND(#REF!,"AAAAAG346mA=")</f>
        <v>#REF!</v>
      </c>
      <c r="CT34" t="e">
        <f>AND(#REF!,"AAAAAG346mE=")</f>
        <v>#REF!</v>
      </c>
      <c r="CU34" t="e">
        <f>AND(#REF!,"AAAAAG346mI=")</f>
        <v>#REF!</v>
      </c>
      <c r="CV34" t="e">
        <f>AND(#REF!,"AAAAAG346mM=")</f>
        <v>#REF!</v>
      </c>
      <c r="CW34" t="e">
        <f>AND(#REF!,"AAAAAG346mQ=")</f>
        <v>#REF!</v>
      </c>
      <c r="CX34" t="e">
        <f>AND(#REF!,"AAAAAG346mU=")</f>
        <v>#REF!</v>
      </c>
      <c r="CY34" t="e">
        <f>AND(#REF!,"AAAAAG346mY=")</f>
        <v>#REF!</v>
      </c>
      <c r="CZ34" t="e">
        <f>IF(#REF!,"AAAAAG346mc=",0)</f>
        <v>#REF!</v>
      </c>
      <c r="DA34" t="e">
        <f>AND(#REF!,"AAAAAG346mg=")</f>
        <v>#REF!</v>
      </c>
      <c r="DB34" t="e">
        <f>AND(#REF!,"AAAAAG346mk=")</f>
        <v>#REF!</v>
      </c>
      <c r="DC34" t="e">
        <f>AND(#REF!,"AAAAAG346mo=")</f>
        <v>#REF!</v>
      </c>
      <c r="DD34" t="e">
        <f>AND(#REF!,"AAAAAG346ms=")</f>
        <v>#REF!</v>
      </c>
      <c r="DE34" t="e">
        <f>AND(#REF!,"AAAAAG346mw=")</f>
        <v>#REF!</v>
      </c>
      <c r="DF34" t="e">
        <f>AND(#REF!,"AAAAAG346m0=")</f>
        <v>#REF!</v>
      </c>
      <c r="DG34" t="e">
        <f>AND(#REF!,"AAAAAG346m4=")</f>
        <v>#REF!</v>
      </c>
      <c r="DH34" t="e">
        <f>AND(#REF!,"AAAAAG346m8=")</f>
        <v>#REF!</v>
      </c>
      <c r="DI34" t="e">
        <f>AND(#REF!,"AAAAAG346nA=")</f>
        <v>#REF!</v>
      </c>
      <c r="DJ34" t="e">
        <f>AND(#REF!,"AAAAAG346nE=")</f>
        <v>#REF!</v>
      </c>
      <c r="DK34" t="e">
        <f>AND(#REF!,"AAAAAG346nI=")</f>
        <v>#REF!</v>
      </c>
      <c r="DL34" t="e">
        <f>AND(#REF!,"AAAAAG346nM=")</f>
        <v>#REF!</v>
      </c>
      <c r="DM34" t="e">
        <f>AND(#REF!,"AAAAAG346nQ=")</f>
        <v>#REF!</v>
      </c>
      <c r="DN34" t="e">
        <f>IF(#REF!,"AAAAAG346nU=",0)</f>
        <v>#REF!</v>
      </c>
      <c r="DO34" t="e">
        <f>AND(#REF!,"AAAAAG346nY=")</f>
        <v>#REF!</v>
      </c>
      <c r="DP34" t="e">
        <f>AND(#REF!,"AAAAAG346nc=")</f>
        <v>#REF!</v>
      </c>
      <c r="DQ34" t="e">
        <f>AND(#REF!,"AAAAAG346ng=")</f>
        <v>#REF!</v>
      </c>
      <c r="DR34" t="e">
        <f>AND(#REF!,"AAAAAG346nk=")</f>
        <v>#REF!</v>
      </c>
      <c r="DS34" t="e">
        <f>AND(#REF!,"AAAAAG346no=")</f>
        <v>#REF!</v>
      </c>
      <c r="DT34" t="e">
        <f>AND(#REF!,"AAAAAG346ns=")</f>
        <v>#REF!</v>
      </c>
      <c r="DU34" t="e">
        <f>AND(#REF!,"AAAAAG346nw=")</f>
        <v>#REF!</v>
      </c>
      <c r="DV34" t="e">
        <f>AND(#REF!,"AAAAAG346n0=")</f>
        <v>#REF!</v>
      </c>
      <c r="DW34" t="e">
        <f>AND(#REF!,"AAAAAG346n4=")</f>
        <v>#REF!</v>
      </c>
      <c r="DX34" t="e">
        <f>AND(#REF!,"AAAAAG346n8=")</f>
        <v>#REF!</v>
      </c>
      <c r="DY34" t="e">
        <f>AND(#REF!,"AAAAAG346oA=")</f>
        <v>#REF!</v>
      </c>
      <c r="DZ34" t="e">
        <f>AND(#REF!,"AAAAAG346oE=")</f>
        <v>#REF!</v>
      </c>
      <c r="EA34" t="e">
        <f>AND(#REF!,"AAAAAG346oI=")</f>
        <v>#REF!</v>
      </c>
      <c r="EB34" t="e">
        <f>IF(#REF!,"AAAAAG346oM=",0)</f>
        <v>#REF!</v>
      </c>
      <c r="EC34" t="e">
        <f>AND(#REF!,"AAAAAG346oQ=")</f>
        <v>#REF!</v>
      </c>
      <c r="ED34" t="e">
        <f>AND(#REF!,"AAAAAG346oU=")</f>
        <v>#REF!</v>
      </c>
      <c r="EE34" t="e">
        <f>AND(#REF!,"AAAAAG346oY=")</f>
        <v>#REF!</v>
      </c>
      <c r="EF34" t="e">
        <f>AND(#REF!,"AAAAAG346oc=")</f>
        <v>#REF!</v>
      </c>
      <c r="EG34" t="e">
        <f>AND(#REF!,"AAAAAG346og=")</f>
        <v>#REF!</v>
      </c>
      <c r="EH34" t="e">
        <f>AND(#REF!,"AAAAAG346ok=")</f>
        <v>#REF!</v>
      </c>
      <c r="EI34" t="e">
        <f>AND(#REF!,"AAAAAG346oo=")</f>
        <v>#REF!</v>
      </c>
      <c r="EJ34" t="e">
        <f>AND(#REF!,"AAAAAG346os=")</f>
        <v>#REF!</v>
      </c>
      <c r="EK34" t="e">
        <f>AND(#REF!,"AAAAAG346ow=")</f>
        <v>#REF!</v>
      </c>
      <c r="EL34" t="e">
        <f>AND(#REF!,"AAAAAG346o0=")</f>
        <v>#REF!</v>
      </c>
      <c r="EM34" t="e">
        <f>AND(#REF!,"AAAAAG346o4=")</f>
        <v>#REF!</v>
      </c>
      <c r="EN34" t="e">
        <f>AND(#REF!,"AAAAAG346o8=")</f>
        <v>#REF!</v>
      </c>
      <c r="EO34" t="e">
        <f>AND(#REF!,"AAAAAG346pA=")</f>
        <v>#REF!</v>
      </c>
      <c r="EP34" t="e">
        <f>IF(#REF!,"AAAAAG346pE=",0)</f>
        <v>#REF!</v>
      </c>
      <c r="EQ34" t="e">
        <f>AND(#REF!,"AAAAAG346pI=")</f>
        <v>#REF!</v>
      </c>
      <c r="ER34" t="e">
        <f>AND(#REF!,"AAAAAG346pM=")</f>
        <v>#REF!</v>
      </c>
      <c r="ES34" t="e">
        <f>AND(#REF!,"AAAAAG346pQ=")</f>
        <v>#REF!</v>
      </c>
      <c r="ET34" t="e">
        <f>AND(#REF!,"AAAAAG346pU=")</f>
        <v>#REF!</v>
      </c>
      <c r="EU34" t="e">
        <f>AND(#REF!,"AAAAAG346pY=")</f>
        <v>#REF!</v>
      </c>
      <c r="EV34" t="e">
        <f>AND(#REF!,"AAAAAG346pc=")</f>
        <v>#REF!</v>
      </c>
      <c r="EW34" t="e">
        <f>AND(#REF!,"AAAAAG346pg=")</f>
        <v>#REF!</v>
      </c>
      <c r="EX34" t="e">
        <f>AND(#REF!,"AAAAAG346pk=")</f>
        <v>#REF!</v>
      </c>
      <c r="EY34" t="e">
        <f>IF(#REF!,"AAAAAG346po=",0)</f>
        <v>#REF!</v>
      </c>
      <c r="EZ34" t="e">
        <f>AND(#REF!,"AAAAAG346ps=")</f>
        <v>#REF!</v>
      </c>
      <c r="FA34" t="e">
        <f>AND(#REF!,"AAAAAG346pw=")</f>
        <v>#REF!</v>
      </c>
      <c r="FB34" t="e">
        <f>AND(#REF!,"AAAAAG346p0=")</f>
        <v>#REF!</v>
      </c>
      <c r="FC34" t="e">
        <f>AND(#REF!,"AAAAAG346p4=")</f>
        <v>#REF!</v>
      </c>
      <c r="FD34" t="e">
        <f>AND(#REF!,"AAAAAG346p8=")</f>
        <v>#REF!</v>
      </c>
      <c r="FE34" t="e">
        <f>AND(#REF!,"AAAAAG346qA=")</f>
        <v>#REF!</v>
      </c>
      <c r="FF34" t="e">
        <f>AND(#REF!,"AAAAAG346qE=")</f>
        <v>#REF!</v>
      </c>
      <c r="FG34" t="e">
        <f>AND(#REF!,"AAAAAG346qI=")</f>
        <v>#REF!</v>
      </c>
      <c r="FH34" t="e">
        <f>IF(#REF!,"AAAAAG346qM=",0)</f>
        <v>#REF!</v>
      </c>
      <c r="FI34" t="e">
        <f>AND(#REF!,"AAAAAG346qQ=")</f>
        <v>#REF!</v>
      </c>
      <c r="FJ34" t="e">
        <f>AND(#REF!,"AAAAAG346qU=")</f>
        <v>#REF!</v>
      </c>
      <c r="FK34" t="e">
        <f>AND(#REF!,"AAAAAG346qY=")</f>
        <v>#REF!</v>
      </c>
      <c r="FL34" t="e">
        <f>AND(#REF!,"AAAAAG346qc=")</f>
        <v>#REF!</v>
      </c>
      <c r="FM34" t="e">
        <f>AND(#REF!,"AAAAAG346qg=")</f>
        <v>#REF!</v>
      </c>
      <c r="FN34" t="e">
        <f>AND(#REF!,"AAAAAG346qk=")</f>
        <v>#REF!</v>
      </c>
      <c r="FO34" t="e">
        <f>AND(#REF!,"AAAAAG346qo=")</f>
        <v>#REF!</v>
      </c>
      <c r="FP34" t="e">
        <f>AND(#REF!,"AAAAAG346qs=")</f>
        <v>#REF!</v>
      </c>
      <c r="FQ34" t="e">
        <f>IF(#REF!,"AAAAAG346qw=",0)</f>
        <v>#REF!</v>
      </c>
      <c r="FR34" t="e">
        <f>AND(#REF!,"AAAAAG346q0=")</f>
        <v>#REF!</v>
      </c>
      <c r="FS34" t="e">
        <f>AND(#REF!,"AAAAAG346q4=")</f>
        <v>#REF!</v>
      </c>
      <c r="FT34" t="e">
        <f>AND(#REF!,"AAAAAG346q8=")</f>
        <v>#REF!</v>
      </c>
      <c r="FU34" t="e">
        <f>AND(#REF!,"AAAAAG346rA=")</f>
        <v>#REF!</v>
      </c>
      <c r="FV34" t="e">
        <f>AND(#REF!,"AAAAAG346rE=")</f>
        <v>#REF!</v>
      </c>
      <c r="FW34" t="e">
        <f>AND(#REF!,"AAAAAG346rI=")</f>
        <v>#REF!</v>
      </c>
      <c r="FX34" t="e">
        <f>AND(#REF!,"AAAAAG346rM=")</f>
        <v>#REF!</v>
      </c>
      <c r="FY34" t="e">
        <f>AND(#REF!,"AAAAAG346rQ=")</f>
        <v>#REF!</v>
      </c>
      <c r="FZ34" t="e">
        <f>IF(#REF!,"AAAAAG346rU=",0)</f>
        <v>#REF!</v>
      </c>
      <c r="GA34" t="e">
        <f>AND(#REF!,"AAAAAG346rY=")</f>
        <v>#REF!</v>
      </c>
      <c r="GB34" t="e">
        <f>AND(#REF!,"AAAAAG346rc=")</f>
        <v>#REF!</v>
      </c>
      <c r="GC34" t="e">
        <f>AND(#REF!,"AAAAAG346rg=")</f>
        <v>#REF!</v>
      </c>
      <c r="GD34" t="e">
        <f>AND(#REF!,"AAAAAG346rk=")</f>
        <v>#REF!</v>
      </c>
      <c r="GE34" t="e">
        <f>AND(#REF!,"AAAAAG346ro=")</f>
        <v>#REF!</v>
      </c>
      <c r="GF34" t="e">
        <f>AND(#REF!,"AAAAAG346rs=")</f>
        <v>#REF!</v>
      </c>
      <c r="GG34" t="e">
        <f>AND(#REF!,"AAAAAG346rw=")</f>
        <v>#REF!</v>
      </c>
      <c r="GH34" t="e">
        <f>AND(#REF!,"AAAAAG346r0=")</f>
        <v>#REF!</v>
      </c>
      <c r="GI34" t="e">
        <f>IF(#REF!,"AAAAAG346r4=",0)</f>
        <v>#REF!</v>
      </c>
      <c r="GJ34" t="e">
        <f>AND(#REF!,"AAAAAG346r8=")</f>
        <v>#REF!</v>
      </c>
      <c r="GK34" t="e">
        <f>AND(#REF!,"AAAAAG346sA=")</f>
        <v>#REF!</v>
      </c>
      <c r="GL34" t="e">
        <f>AND(#REF!,"AAAAAG346sE=")</f>
        <v>#REF!</v>
      </c>
      <c r="GM34" t="e">
        <f>AND(#REF!,"AAAAAG346sI=")</f>
        <v>#REF!</v>
      </c>
      <c r="GN34" t="e">
        <f>AND(#REF!,"AAAAAG346sM=")</f>
        <v>#REF!</v>
      </c>
      <c r="GO34" t="e">
        <f>AND(#REF!,"AAAAAG346sQ=")</f>
        <v>#REF!</v>
      </c>
      <c r="GP34" t="e">
        <f>AND(#REF!,"AAAAAG346sU=")</f>
        <v>#REF!</v>
      </c>
      <c r="GQ34" t="e">
        <f>AND(#REF!,"AAAAAG346sY=")</f>
        <v>#REF!</v>
      </c>
      <c r="GR34" t="e">
        <f>IF(#REF!,"AAAAAG346sc=",0)</f>
        <v>#REF!</v>
      </c>
      <c r="GS34" t="e">
        <f>AND(#REF!,"AAAAAG346sg=")</f>
        <v>#REF!</v>
      </c>
      <c r="GT34" t="e">
        <f>AND(#REF!,"AAAAAG346sk=")</f>
        <v>#REF!</v>
      </c>
      <c r="GU34" t="e">
        <f>AND(#REF!,"AAAAAG346so=")</f>
        <v>#REF!</v>
      </c>
      <c r="GV34" t="e">
        <f>AND(#REF!,"AAAAAG346ss=")</f>
        <v>#REF!</v>
      </c>
      <c r="GW34" t="e">
        <f>AND(#REF!,"AAAAAG346sw=")</f>
        <v>#REF!</v>
      </c>
      <c r="GX34" t="e">
        <f>AND(#REF!,"AAAAAG346s0=")</f>
        <v>#REF!</v>
      </c>
      <c r="GY34" t="e">
        <f>AND(#REF!,"AAAAAG346s4=")</f>
        <v>#REF!</v>
      </c>
      <c r="GZ34" t="e">
        <f>AND(#REF!,"AAAAAG346s8=")</f>
        <v>#REF!</v>
      </c>
      <c r="HA34" t="e">
        <f>IF(#REF!,"AAAAAG346tA=",0)</f>
        <v>#REF!</v>
      </c>
      <c r="HB34" t="e">
        <f>AND(#REF!,"AAAAAG346tE=")</f>
        <v>#REF!</v>
      </c>
      <c r="HC34" t="e">
        <f>AND(#REF!,"AAAAAG346tI=")</f>
        <v>#REF!</v>
      </c>
      <c r="HD34" t="e">
        <f>AND(#REF!,"AAAAAG346tM=")</f>
        <v>#REF!</v>
      </c>
      <c r="HE34" t="e">
        <f>AND(#REF!,"AAAAAG346tQ=")</f>
        <v>#REF!</v>
      </c>
      <c r="HF34" t="e">
        <f>AND(#REF!,"AAAAAG346tU=")</f>
        <v>#REF!</v>
      </c>
      <c r="HG34" t="e">
        <f>AND(#REF!,"AAAAAG346tY=")</f>
        <v>#REF!</v>
      </c>
      <c r="HH34" t="e">
        <f>AND(#REF!,"AAAAAG346tc=")</f>
        <v>#REF!</v>
      </c>
      <c r="HI34" t="e">
        <f>AND(#REF!,"AAAAAG346tg=")</f>
        <v>#REF!</v>
      </c>
      <c r="HJ34" t="e">
        <f>IF(#REF!,"AAAAAG346tk=",0)</f>
        <v>#REF!</v>
      </c>
      <c r="HK34" t="e">
        <f>AND(#REF!,"AAAAAG346to=")</f>
        <v>#REF!</v>
      </c>
      <c r="HL34" t="e">
        <f>AND(#REF!,"AAAAAG346ts=")</f>
        <v>#REF!</v>
      </c>
      <c r="HM34" t="e">
        <f>AND(#REF!,"AAAAAG346tw=")</f>
        <v>#REF!</v>
      </c>
      <c r="HN34" t="e">
        <f>AND(#REF!,"AAAAAG346t0=")</f>
        <v>#REF!</v>
      </c>
      <c r="HO34" t="e">
        <f>AND(#REF!,"AAAAAG346t4=")</f>
        <v>#REF!</v>
      </c>
      <c r="HP34" t="e">
        <f>AND(#REF!,"AAAAAG346t8=")</f>
        <v>#REF!</v>
      </c>
      <c r="HQ34" t="e">
        <f>AND(#REF!,"AAAAAG346uA=")</f>
        <v>#REF!</v>
      </c>
      <c r="HR34" t="e">
        <f>AND(#REF!,"AAAAAG346uE=")</f>
        <v>#REF!</v>
      </c>
      <c r="HS34" t="e">
        <f>IF(#REF!,"AAAAAG346uI=",0)</f>
        <v>#REF!</v>
      </c>
      <c r="HT34" t="e">
        <f>AND(#REF!,"AAAAAG346uM=")</f>
        <v>#REF!</v>
      </c>
      <c r="HU34" t="e">
        <f>AND(#REF!,"AAAAAG346uQ=")</f>
        <v>#REF!</v>
      </c>
      <c r="HV34" t="e">
        <f>AND(#REF!,"AAAAAG346uU=")</f>
        <v>#REF!</v>
      </c>
      <c r="HW34" t="e">
        <f>AND(#REF!,"AAAAAG346uY=")</f>
        <v>#REF!</v>
      </c>
      <c r="HX34" t="e">
        <f>AND(#REF!,"AAAAAG346uc=")</f>
        <v>#REF!</v>
      </c>
      <c r="HY34" t="e">
        <f>AND(#REF!,"AAAAAG346ug=")</f>
        <v>#REF!</v>
      </c>
      <c r="HZ34" t="e">
        <f>AND(#REF!,"AAAAAG346uk=")</f>
        <v>#REF!</v>
      </c>
      <c r="IA34" t="e">
        <f>AND(#REF!,"AAAAAG346uo=")</f>
        <v>#REF!</v>
      </c>
      <c r="IB34" t="e">
        <f>IF(#REF!,"AAAAAG346us=",0)</f>
        <v>#REF!</v>
      </c>
      <c r="IC34" t="e">
        <f>AND(#REF!,"AAAAAG346uw=")</f>
        <v>#REF!</v>
      </c>
      <c r="ID34" t="e">
        <f>AND(#REF!,"AAAAAG346u0=")</f>
        <v>#REF!</v>
      </c>
      <c r="IE34" t="e">
        <f>AND(#REF!,"AAAAAG346u4=")</f>
        <v>#REF!</v>
      </c>
      <c r="IF34" t="e">
        <f>AND(#REF!,"AAAAAG346u8=")</f>
        <v>#REF!</v>
      </c>
      <c r="IG34" t="e">
        <f>AND(#REF!,"AAAAAG346vA=")</f>
        <v>#REF!</v>
      </c>
      <c r="IH34" t="e">
        <f>AND(#REF!,"AAAAAG346vE=")</f>
        <v>#REF!</v>
      </c>
      <c r="II34" t="e">
        <f>AND(#REF!,"AAAAAG346vI=")</f>
        <v>#REF!</v>
      </c>
      <c r="IJ34" t="e">
        <f>AND(#REF!,"AAAAAG346vM=")</f>
        <v>#REF!</v>
      </c>
      <c r="IK34" t="e">
        <f>IF(#REF!,"AAAAAG346vQ=",0)</f>
        <v>#REF!</v>
      </c>
      <c r="IL34" t="e">
        <f>AND(#REF!,"AAAAAG346vU=")</f>
        <v>#REF!</v>
      </c>
      <c r="IM34" t="e">
        <f>AND(#REF!,"AAAAAG346vY=")</f>
        <v>#REF!</v>
      </c>
      <c r="IN34" t="e">
        <f>AND(#REF!,"AAAAAG346vc=")</f>
        <v>#REF!</v>
      </c>
      <c r="IO34" t="e">
        <f>AND(#REF!,"AAAAAG346vg=")</f>
        <v>#REF!</v>
      </c>
      <c r="IP34" t="e">
        <f>AND(#REF!,"AAAAAG346vk=")</f>
        <v>#REF!</v>
      </c>
      <c r="IQ34" t="e">
        <f>AND(#REF!,"AAAAAG346vo=")</f>
        <v>#REF!</v>
      </c>
      <c r="IR34" t="e">
        <f>AND(#REF!,"AAAAAG346vs=")</f>
        <v>#REF!</v>
      </c>
      <c r="IS34" t="e">
        <f>AND(#REF!,"AAAAAG346vw=")</f>
        <v>#REF!</v>
      </c>
      <c r="IT34" t="e">
        <f>IF(#REF!,"AAAAAG346v0=",0)</f>
        <v>#REF!</v>
      </c>
      <c r="IU34" t="e">
        <f>AND(#REF!,"AAAAAG346v4=")</f>
        <v>#REF!</v>
      </c>
      <c r="IV34" t="e">
        <f>AND(#REF!,"AAAAAG346v8=")</f>
        <v>#REF!</v>
      </c>
    </row>
    <row r="35" spans="1:256" x14ac:dyDescent="0.2">
      <c r="A35" t="e">
        <f>AND(#REF!,"AAAAAE6/vwA=")</f>
        <v>#REF!</v>
      </c>
      <c r="B35" t="e">
        <f>AND(#REF!,"AAAAAE6/vwE=")</f>
        <v>#REF!</v>
      </c>
      <c r="C35" t="e">
        <f>AND(#REF!,"AAAAAE6/vwI=")</f>
        <v>#REF!</v>
      </c>
      <c r="D35" t="e">
        <f>AND(#REF!,"AAAAAE6/vwM=")</f>
        <v>#REF!</v>
      </c>
      <c r="E35" t="e">
        <f>AND(#REF!,"AAAAAE6/vwQ=")</f>
        <v>#REF!</v>
      </c>
      <c r="F35" t="e">
        <f>AND(#REF!,"AAAAAE6/vwU=")</f>
        <v>#REF!</v>
      </c>
      <c r="G35" t="e">
        <f>IF(#REF!,"AAAAAE6/vwY=",0)</f>
        <v>#REF!</v>
      </c>
      <c r="H35" t="e">
        <f>AND(#REF!,"AAAAAE6/vwc=")</f>
        <v>#REF!</v>
      </c>
      <c r="I35" t="e">
        <f>AND(#REF!,"AAAAAE6/vwg=")</f>
        <v>#REF!</v>
      </c>
      <c r="J35" t="e">
        <f>AND(#REF!,"AAAAAE6/vwk=")</f>
        <v>#REF!</v>
      </c>
      <c r="K35" t="e">
        <f>AND(#REF!,"AAAAAE6/vwo=")</f>
        <v>#REF!</v>
      </c>
      <c r="L35" t="e">
        <f>AND(#REF!,"AAAAAE6/vws=")</f>
        <v>#REF!</v>
      </c>
      <c r="M35" t="e">
        <f>AND(#REF!,"AAAAAE6/vww=")</f>
        <v>#REF!</v>
      </c>
      <c r="N35" t="e">
        <f>AND(#REF!,"AAAAAE6/vw0=")</f>
        <v>#REF!</v>
      </c>
      <c r="O35" t="e">
        <f>AND(#REF!,"AAAAAE6/vw4=")</f>
        <v>#REF!</v>
      </c>
      <c r="P35" t="e">
        <f>IF(#REF!,"AAAAAE6/vw8=",0)</f>
        <v>#REF!</v>
      </c>
      <c r="Q35" t="e">
        <f>AND(#REF!,"AAAAAE6/vxA=")</f>
        <v>#REF!</v>
      </c>
      <c r="R35" t="e">
        <f>AND(#REF!,"AAAAAE6/vxE=")</f>
        <v>#REF!</v>
      </c>
      <c r="S35" t="e">
        <f>AND(#REF!,"AAAAAE6/vxI=")</f>
        <v>#REF!</v>
      </c>
      <c r="T35" t="e">
        <f>AND(#REF!,"AAAAAE6/vxM=")</f>
        <v>#REF!</v>
      </c>
      <c r="U35" t="e">
        <f>AND(#REF!,"AAAAAE6/vxQ=")</f>
        <v>#REF!</v>
      </c>
      <c r="V35" t="e">
        <f>AND(#REF!,"AAAAAE6/vxU=")</f>
        <v>#REF!</v>
      </c>
      <c r="W35" t="e">
        <f>AND(#REF!,"AAAAAE6/vxY=")</f>
        <v>#REF!</v>
      </c>
      <c r="X35" t="e">
        <f>AND(#REF!,"AAAAAE6/vxc=")</f>
        <v>#REF!</v>
      </c>
      <c r="Y35" t="e">
        <f>IF(#REF!,"AAAAAE6/vxg=",0)</f>
        <v>#REF!</v>
      </c>
      <c r="Z35" t="e">
        <f>AND(#REF!,"AAAAAE6/vxk=")</f>
        <v>#REF!</v>
      </c>
      <c r="AA35" t="e">
        <f>AND(#REF!,"AAAAAE6/vxo=")</f>
        <v>#REF!</v>
      </c>
      <c r="AB35" t="e">
        <f>AND(#REF!,"AAAAAE6/vxs=")</f>
        <v>#REF!</v>
      </c>
      <c r="AC35" t="e">
        <f>AND(#REF!,"AAAAAE6/vxw=")</f>
        <v>#REF!</v>
      </c>
      <c r="AD35" t="e">
        <f>AND(#REF!,"AAAAAE6/vx0=")</f>
        <v>#REF!</v>
      </c>
      <c r="AE35" t="e">
        <f>AND(#REF!,"AAAAAE6/vx4=")</f>
        <v>#REF!</v>
      </c>
      <c r="AF35" t="e">
        <f>AND(#REF!,"AAAAAE6/vx8=")</f>
        <v>#REF!</v>
      </c>
      <c r="AG35" t="e">
        <f>AND(#REF!,"AAAAAE6/vyA=")</f>
        <v>#REF!</v>
      </c>
      <c r="AH35" t="e">
        <f>IF(#REF!,"AAAAAE6/vyE=",0)</f>
        <v>#REF!</v>
      </c>
      <c r="AI35" t="e">
        <f>AND(#REF!,"AAAAAE6/vyI=")</f>
        <v>#REF!</v>
      </c>
      <c r="AJ35" t="e">
        <f>AND(#REF!,"AAAAAE6/vyM=")</f>
        <v>#REF!</v>
      </c>
      <c r="AK35" t="e">
        <f>AND(#REF!,"AAAAAE6/vyQ=")</f>
        <v>#REF!</v>
      </c>
      <c r="AL35" t="e">
        <f>AND(#REF!,"AAAAAE6/vyU=")</f>
        <v>#REF!</v>
      </c>
      <c r="AM35" t="e">
        <f>AND(#REF!,"AAAAAE6/vyY=")</f>
        <v>#REF!</v>
      </c>
      <c r="AN35" t="e">
        <f>AND(#REF!,"AAAAAE6/vyc=")</f>
        <v>#REF!</v>
      </c>
      <c r="AO35" t="e">
        <f>AND(#REF!,"AAAAAE6/vyg=")</f>
        <v>#REF!</v>
      </c>
      <c r="AP35" t="e">
        <f>AND(#REF!,"AAAAAE6/vyk=")</f>
        <v>#REF!</v>
      </c>
      <c r="AQ35" t="e">
        <f>IF(#REF!,"AAAAAE6/vyo=",0)</f>
        <v>#REF!</v>
      </c>
      <c r="AR35" t="e">
        <f>AND(#REF!,"AAAAAE6/vys=")</f>
        <v>#REF!</v>
      </c>
      <c r="AS35" t="e">
        <f>AND(#REF!,"AAAAAE6/vyw=")</f>
        <v>#REF!</v>
      </c>
      <c r="AT35" t="e">
        <f>AND(#REF!,"AAAAAE6/vy0=")</f>
        <v>#REF!</v>
      </c>
      <c r="AU35" t="e">
        <f>AND(#REF!,"AAAAAE6/vy4=")</f>
        <v>#REF!</v>
      </c>
      <c r="AV35" t="e">
        <f>AND(#REF!,"AAAAAE6/vy8=")</f>
        <v>#REF!</v>
      </c>
      <c r="AW35" t="e">
        <f>AND(#REF!,"AAAAAE6/vzA=")</f>
        <v>#REF!</v>
      </c>
      <c r="AX35" t="e">
        <f>AND(#REF!,"AAAAAE6/vzE=")</f>
        <v>#REF!</v>
      </c>
      <c r="AY35" t="e">
        <f>AND(#REF!,"AAAAAE6/vzI=")</f>
        <v>#REF!</v>
      </c>
      <c r="AZ35" t="e">
        <f>IF(#REF!,"AAAAAE6/vzM=",0)</f>
        <v>#REF!</v>
      </c>
      <c r="BA35" t="e">
        <f>AND(#REF!,"AAAAAE6/vzQ=")</f>
        <v>#REF!</v>
      </c>
      <c r="BB35" t="e">
        <f>AND(#REF!,"AAAAAE6/vzU=")</f>
        <v>#REF!</v>
      </c>
      <c r="BC35" t="e">
        <f>AND(#REF!,"AAAAAE6/vzY=")</f>
        <v>#REF!</v>
      </c>
      <c r="BD35" t="e">
        <f>AND(#REF!,"AAAAAE6/vzc=")</f>
        <v>#REF!</v>
      </c>
      <c r="BE35" t="e">
        <f>AND(#REF!,"AAAAAE6/vzg=")</f>
        <v>#REF!</v>
      </c>
      <c r="BF35" t="e">
        <f>AND(#REF!,"AAAAAE6/vzk=")</f>
        <v>#REF!</v>
      </c>
      <c r="BG35" t="e">
        <f>AND(#REF!,"AAAAAE6/vzo=")</f>
        <v>#REF!</v>
      </c>
      <c r="BH35" t="e">
        <f>AND(#REF!,"AAAAAE6/vzs=")</f>
        <v>#REF!</v>
      </c>
      <c r="BI35" t="e">
        <f>IF(#REF!,"AAAAAE6/vzw=",0)</f>
        <v>#REF!</v>
      </c>
      <c r="BJ35" t="e">
        <f>AND(#REF!,"AAAAAE6/vz0=")</f>
        <v>#REF!</v>
      </c>
      <c r="BK35" t="e">
        <f>AND(#REF!,"AAAAAE6/vz4=")</f>
        <v>#REF!</v>
      </c>
      <c r="BL35" t="e">
        <f>AND(#REF!,"AAAAAE6/vz8=")</f>
        <v>#REF!</v>
      </c>
      <c r="BM35" t="e">
        <f>AND(#REF!,"AAAAAE6/v0A=")</f>
        <v>#REF!</v>
      </c>
      <c r="BN35" t="e">
        <f>AND(#REF!,"AAAAAE6/v0E=")</f>
        <v>#REF!</v>
      </c>
      <c r="BO35" t="e">
        <f>AND(#REF!,"AAAAAE6/v0I=")</f>
        <v>#REF!</v>
      </c>
      <c r="BP35" t="e">
        <f>AND(#REF!,"AAAAAE6/v0M=")</f>
        <v>#REF!</v>
      </c>
      <c r="BQ35" t="e">
        <f>AND(#REF!,"AAAAAE6/v0Q=")</f>
        <v>#REF!</v>
      </c>
      <c r="BR35" t="e">
        <f>IF(#REF!,"AAAAAE6/v0U=",0)</f>
        <v>#REF!</v>
      </c>
      <c r="BS35" t="e">
        <f>AND(#REF!,"AAAAAE6/v0Y=")</f>
        <v>#REF!</v>
      </c>
      <c r="BT35" t="e">
        <f>AND(#REF!,"AAAAAE6/v0c=")</f>
        <v>#REF!</v>
      </c>
      <c r="BU35" t="e">
        <f>AND(#REF!,"AAAAAE6/v0g=")</f>
        <v>#REF!</v>
      </c>
      <c r="BV35" t="e">
        <f>AND(#REF!,"AAAAAE6/v0k=")</f>
        <v>#REF!</v>
      </c>
      <c r="BW35" t="e">
        <f>AND(#REF!,"AAAAAE6/v0o=")</f>
        <v>#REF!</v>
      </c>
      <c r="BX35" t="e">
        <f>AND(#REF!,"AAAAAE6/v0s=")</f>
        <v>#REF!</v>
      </c>
      <c r="BY35" t="e">
        <f>AND(#REF!,"AAAAAE6/v0w=")</f>
        <v>#REF!</v>
      </c>
      <c r="BZ35" t="e">
        <f>AND(#REF!,"AAAAAE6/v00=")</f>
        <v>#REF!</v>
      </c>
      <c r="CA35" t="e">
        <f>IF(#REF!,"AAAAAE6/v04=",0)</f>
        <v>#REF!</v>
      </c>
      <c r="CB35" t="e">
        <f>AND(#REF!,"AAAAAE6/v08=")</f>
        <v>#REF!</v>
      </c>
      <c r="CC35" t="e">
        <f>AND(#REF!,"AAAAAE6/v1A=")</f>
        <v>#REF!</v>
      </c>
      <c r="CD35" t="e">
        <f>AND(#REF!,"AAAAAE6/v1E=")</f>
        <v>#REF!</v>
      </c>
      <c r="CE35" t="e">
        <f>AND(#REF!,"AAAAAE6/v1I=")</f>
        <v>#REF!</v>
      </c>
      <c r="CF35" t="e">
        <f>AND(#REF!,"AAAAAE6/v1M=")</f>
        <v>#REF!</v>
      </c>
      <c r="CG35" t="e">
        <f>AND(#REF!,"AAAAAE6/v1Q=")</f>
        <v>#REF!</v>
      </c>
      <c r="CH35" t="e">
        <f>AND(#REF!,"AAAAAE6/v1U=")</f>
        <v>#REF!</v>
      </c>
      <c r="CI35" t="e">
        <f>AND(#REF!,"AAAAAE6/v1Y=")</f>
        <v>#REF!</v>
      </c>
      <c r="CJ35" t="e">
        <f>IF(#REF!,"AAAAAE6/v1c=",0)</f>
        <v>#REF!</v>
      </c>
      <c r="CK35" t="e">
        <f>AND(#REF!,"AAAAAE6/v1g=")</f>
        <v>#REF!</v>
      </c>
      <c r="CL35" t="e">
        <f>AND(#REF!,"AAAAAE6/v1k=")</f>
        <v>#REF!</v>
      </c>
      <c r="CM35" t="e">
        <f>AND(#REF!,"AAAAAE6/v1o=")</f>
        <v>#REF!</v>
      </c>
      <c r="CN35" t="e">
        <f>AND(#REF!,"AAAAAE6/v1s=")</f>
        <v>#REF!</v>
      </c>
      <c r="CO35" t="e">
        <f>AND(#REF!,"AAAAAE6/v1w=")</f>
        <v>#REF!</v>
      </c>
      <c r="CP35" t="e">
        <f>AND(#REF!,"AAAAAE6/v10=")</f>
        <v>#REF!</v>
      </c>
      <c r="CQ35" t="e">
        <f>AND(#REF!,"AAAAAE6/v14=")</f>
        <v>#REF!</v>
      </c>
      <c r="CR35" t="e">
        <f>AND(#REF!,"AAAAAE6/v18=")</f>
        <v>#REF!</v>
      </c>
      <c r="CS35" t="e">
        <f>IF(#REF!,"AAAAAE6/v2A=",0)</f>
        <v>#REF!</v>
      </c>
      <c r="CT35" t="e">
        <f>AND(#REF!,"AAAAAE6/v2E=")</f>
        <v>#REF!</v>
      </c>
      <c r="CU35" t="e">
        <f>AND(#REF!,"AAAAAE6/v2I=")</f>
        <v>#REF!</v>
      </c>
      <c r="CV35" t="e">
        <f>AND(#REF!,"AAAAAE6/v2M=")</f>
        <v>#REF!</v>
      </c>
      <c r="CW35" t="e">
        <f>AND(#REF!,"AAAAAE6/v2Q=")</f>
        <v>#REF!</v>
      </c>
      <c r="CX35" t="e">
        <f>AND(#REF!,"AAAAAE6/v2U=")</f>
        <v>#REF!</v>
      </c>
      <c r="CY35" t="e">
        <f>AND(#REF!,"AAAAAE6/v2Y=")</f>
        <v>#REF!</v>
      </c>
      <c r="CZ35" t="e">
        <f>AND(#REF!,"AAAAAE6/v2c=")</f>
        <v>#REF!</v>
      </c>
      <c r="DA35" t="e">
        <f>AND(#REF!,"AAAAAE6/v2g=")</f>
        <v>#REF!</v>
      </c>
      <c r="DB35" t="e">
        <f>IF(#REF!,"AAAAAE6/v2k=",0)</f>
        <v>#REF!</v>
      </c>
      <c r="DC35" t="e">
        <f>AND(#REF!,"AAAAAE6/v2o=")</f>
        <v>#REF!</v>
      </c>
      <c r="DD35" t="e">
        <f>AND(#REF!,"AAAAAE6/v2s=")</f>
        <v>#REF!</v>
      </c>
      <c r="DE35" t="e">
        <f>AND(#REF!,"AAAAAE6/v2w=")</f>
        <v>#REF!</v>
      </c>
      <c r="DF35" t="e">
        <f>AND(#REF!,"AAAAAE6/v20=")</f>
        <v>#REF!</v>
      </c>
      <c r="DG35" t="e">
        <f>AND(#REF!,"AAAAAE6/v24=")</f>
        <v>#REF!</v>
      </c>
      <c r="DH35" t="e">
        <f>AND(#REF!,"AAAAAE6/v28=")</f>
        <v>#REF!</v>
      </c>
      <c r="DI35" t="e">
        <f>AND(#REF!,"AAAAAE6/v3A=")</f>
        <v>#REF!</v>
      </c>
      <c r="DJ35" t="e">
        <f>AND(#REF!,"AAAAAE6/v3E=")</f>
        <v>#REF!</v>
      </c>
      <c r="DK35" t="e">
        <f>IF(#REF!,"AAAAAE6/v3I=",0)</f>
        <v>#REF!</v>
      </c>
      <c r="DL35" t="e">
        <f>AND(#REF!,"AAAAAE6/v3M=")</f>
        <v>#REF!</v>
      </c>
      <c r="DM35" t="e">
        <f>AND(#REF!,"AAAAAE6/v3Q=")</f>
        <v>#REF!</v>
      </c>
      <c r="DN35" t="e">
        <f>AND(#REF!,"AAAAAE6/v3U=")</f>
        <v>#REF!</v>
      </c>
      <c r="DO35" t="e">
        <f>AND(#REF!,"AAAAAE6/v3Y=")</f>
        <v>#REF!</v>
      </c>
      <c r="DP35" t="e">
        <f>AND(#REF!,"AAAAAE6/v3c=")</f>
        <v>#REF!</v>
      </c>
      <c r="DQ35" t="e">
        <f>AND(#REF!,"AAAAAE6/v3g=")</f>
        <v>#REF!</v>
      </c>
      <c r="DR35" t="e">
        <f>AND(#REF!,"AAAAAE6/v3k=")</f>
        <v>#REF!</v>
      </c>
      <c r="DS35" t="e">
        <f>AND(#REF!,"AAAAAE6/v3o=")</f>
        <v>#REF!</v>
      </c>
      <c r="DT35" t="e">
        <f>IF(#REF!,"AAAAAE6/v3s=",0)</f>
        <v>#REF!</v>
      </c>
      <c r="DU35" t="e">
        <f>AND(#REF!,"AAAAAE6/v3w=")</f>
        <v>#REF!</v>
      </c>
      <c r="DV35" t="e">
        <f>AND(#REF!,"AAAAAE6/v30=")</f>
        <v>#REF!</v>
      </c>
      <c r="DW35" t="e">
        <f>AND(#REF!,"AAAAAE6/v34=")</f>
        <v>#REF!</v>
      </c>
      <c r="DX35" t="e">
        <f>AND(#REF!,"AAAAAE6/v38=")</f>
        <v>#REF!</v>
      </c>
      <c r="DY35" t="e">
        <f>AND(#REF!,"AAAAAE6/v4A=")</f>
        <v>#REF!</v>
      </c>
      <c r="DZ35" t="e">
        <f>AND(#REF!,"AAAAAE6/v4E=")</f>
        <v>#REF!</v>
      </c>
      <c r="EA35" t="e">
        <f>AND(#REF!,"AAAAAE6/v4I=")</f>
        <v>#REF!</v>
      </c>
      <c r="EB35" t="e">
        <f>AND(#REF!,"AAAAAE6/v4M=")</f>
        <v>#REF!</v>
      </c>
      <c r="EC35" t="e">
        <f>IF(#REF!,"AAAAAE6/v4Q=",0)</f>
        <v>#REF!</v>
      </c>
      <c r="ED35" t="e">
        <f>AND(#REF!,"AAAAAE6/v4U=")</f>
        <v>#REF!</v>
      </c>
      <c r="EE35" t="e">
        <f>AND(#REF!,"AAAAAE6/v4Y=")</f>
        <v>#REF!</v>
      </c>
      <c r="EF35" t="e">
        <f>AND(#REF!,"AAAAAE6/v4c=")</f>
        <v>#REF!</v>
      </c>
      <c r="EG35" t="e">
        <f>AND(#REF!,"AAAAAE6/v4g=")</f>
        <v>#REF!</v>
      </c>
      <c r="EH35" t="e">
        <f>AND(#REF!,"AAAAAE6/v4k=")</f>
        <v>#REF!</v>
      </c>
      <c r="EI35" t="e">
        <f>AND(#REF!,"AAAAAE6/v4o=")</f>
        <v>#REF!</v>
      </c>
      <c r="EJ35" t="e">
        <f>AND(#REF!,"AAAAAE6/v4s=")</f>
        <v>#REF!</v>
      </c>
      <c r="EK35" t="e">
        <f>AND(#REF!,"AAAAAE6/v4w=")</f>
        <v>#REF!</v>
      </c>
      <c r="EL35" t="e">
        <f>IF(#REF!,"AAAAAE6/v40=",0)</f>
        <v>#REF!</v>
      </c>
      <c r="EM35" t="e">
        <f>AND(#REF!,"AAAAAE6/v44=")</f>
        <v>#REF!</v>
      </c>
      <c r="EN35" t="e">
        <f>AND(#REF!,"AAAAAE6/v48=")</f>
        <v>#REF!</v>
      </c>
      <c r="EO35" t="e">
        <f>AND(#REF!,"AAAAAE6/v5A=")</f>
        <v>#REF!</v>
      </c>
      <c r="EP35" t="e">
        <f>AND(#REF!,"AAAAAE6/v5E=")</f>
        <v>#REF!</v>
      </c>
      <c r="EQ35" t="e">
        <f>AND(#REF!,"AAAAAE6/v5I=")</f>
        <v>#REF!</v>
      </c>
      <c r="ER35" t="e">
        <f>AND(#REF!,"AAAAAE6/v5M=")</f>
        <v>#REF!</v>
      </c>
      <c r="ES35" t="e">
        <f>AND(#REF!,"AAAAAE6/v5Q=")</f>
        <v>#REF!</v>
      </c>
      <c r="ET35" t="e">
        <f>AND(#REF!,"AAAAAE6/v5U=")</f>
        <v>#REF!</v>
      </c>
      <c r="EU35" t="e">
        <f>IF(#REF!,"AAAAAE6/v5Y=",0)</f>
        <v>#REF!</v>
      </c>
      <c r="EV35" t="e">
        <f>AND(#REF!,"AAAAAE6/v5c=")</f>
        <v>#REF!</v>
      </c>
      <c r="EW35" t="e">
        <f>AND(#REF!,"AAAAAE6/v5g=")</f>
        <v>#REF!</v>
      </c>
      <c r="EX35" t="e">
        <f>AND(#REF!,"AAAAAE6/v5k=")</f>
        <v>#REF!</v>
      </c>
      <c r="EY35" t="e">
        <f>AND(#REF!,"AAAAAE6/v5o=")</f>
        <v>#REF!</v>
      </c>
      <c r="EZ35" t="e">
        <f>AND(#REF!,"AAAAAE6/v5s=")</f>
        <v>#REF!</v>
      </c>
      <c r="FA35" t="e">
        <f>AND(#REF!,"AAAAAE6/v5w=")</f>
        <v>#REF!</v>
      </c>
      <c r="FB35" t="e">
        <f>AND(#REF!,"AAAAAE6/v50=")</f>
        <v>#REF!</v>
      </c>
      <c r="FC35" t="e">
        <f>AND(#REF!,"AAAAAE6/v54=")</f>
        <v>#REF!</v>
      </c>
      <c r="FD35" t="e">
        <f>IF(#REF!,"AAAAAE6/v58=",0)</f>
        <v>#REF!</v>
      </c>
      <c r="FE35" t="e">
        <f>AND(#REF!,"AAAAAE6/v6A=")</f>
        <v>#REF!</v>
      </c>
      <c r="FF35" t="e">
        <f>AND(#REF!,"AAAAAE6/v6E=")</f>
        <v>#REF!</v>
      </c>
      <c r="FG35" t="e">
        <f>AND(#REF!,"AAAAAE6/v6I=")</f>
        <v>#REF!</v>
      </c>
      <c r="FH35" t="e">
        <f>AND(#REF!,"AAAAAE6/v6M=")</f>
        <v>#REF!</v>
      </c>
      <c r="FI35" t="e">
        <f>AND(#REF!,"AAAAAE6/v6Q=")</f>
        <v>#REF!</v>
      </c>
      <c r="FJ35" t="e">
        <f>AND(#REF!,"AAAAAE6/v6U=")</f>
        <v>#REF!</v>
      </c>
      <c r="FK35" t="e">
        <f>AND(#REF!,"AAAAAE6/v6Y=")</f>
        <v>#REF!</v>
      </c>
      <c r="FL35" t="e">
        <f>AND(#REF!,"AAAAAE6/v6c=")</f>
        <v>#REF!</v>
      </c>
      <c r="FM35" t="e">
        <f>IF(#REF!,"AAAAAE6/v6g=",0)</f>
        <v>#REF!</v>
      </c>
      <c r="FN35" t="e">
        <f>IF(#REF!,"AAAAAE6/v6k=",0)</f>
        <v>#REF!</v>
      </c>
      <c r="FO35" t="e">
        <f>IF(#REF!,"AAAAAE6/v6o=",0)</f>
        <v>#REF!</v>
      </c>
      <c r="FP35" t="e">
        <f>IF(#REF!,"AAAAAE6/v6s=",0)</f>
        <v>#REF!</v>
      </c>
      <c r="FQ35" t="e">
        <f>IF(#REF!,"AAAAAE6/v6w=",0)</f>
        <v>#REF!</v>
      </c>
      <c r="FR35" t="e">
        <f>IF(#REF!,"AAAAAE6/v60=",0)</f>
        <v>#REF!</v>
      </c>
      <c r="FS35" t="e">
        <f>IF(#REF!,"AAAAAE6/v64=",0)</f>
        <v>#REF!</v>
      </c>
      <c r="FT35" t="e">
        <f>IF(#REF!,"AAAAAE6/v68=",0)</f>
        <v>#REF!</v>
      </c>
      <c r="FU35" t="e">
        <f>IF(#REF!,"AAAAAE6/v7A=",0)</f>
        <v>#REF!</v>
      </c>
      <c r="FV35" t="e">
        <f>IF(#REF!,"AAAAAE6/v7E=",0)</f>
        <v>#REF!</v>
      </c>
      <c r="FW35" t="e">
        <f>IF(#REF!,"AAAAAE6/v7I=",0)</f>
        <v>#REF!</v>
      </c>
      <c r="FX35" t="e">
        <f>IF(#REF!,"AAAAAE6/v7M=",0)</f>
        <v>#REF!</v>
      </c>
      <c r="FY35" t="e">
        <f>IF(#REF!,"AAAAAE6/v7Q=",0)</f>
        <v>#REF!</v>
      </c>
      <c r="FZ35" t="e">
        <f>IF(#REF!,"AAAAAE6/v7U=",0)</f>
        <v>#REF!</v>
      </c>
      <c r="GA35" t="e">
        <f>AND(#REF!,"AAAAAE6/v7Y=")</f>
        <v>#REF!</v>
      </c>
      <c r="GB35" t="e">
        <f>AND(#REF!,"AAAAAE6/v7c=")</f>
        <v>#REF!</v>
      </c>
      <c r="GC35" t="e">
        <f>AND(#REF!,"AAAAAE6/v7g=")</f>
        <v>#REF!</v>
      </c>
      <c r="GD35" t="e">
        <f>AND(#REF!,"AAAAAE6/v7k=")</f>
        <v>#REF!</v>
      </c>
      <c r="GE35" t="e">
        <f>AND(#REF!,"AAAAAE6/v7o=")</f>
        <v>#REF!</v>
      </c>
      <c r="GF35" t="e">
        <f>AND(#REF!,"AAAAAE6/v7s=")</f>
        <v>#REF!</v>
      </c>
      <c r="GG35" t="e">
        <f>AND(#REF!,"AAAAAE6/v7w=")</f>
        <v>#REF!</v>
      </c>
      <c r="GH35" t="e">
        <f>AND(#REF!,"AAAAAE6/v70=")</f>
        <v>#REF!</v>
      </c>
      <c r="GI35" t="e">
        <f>AND(#REF!,"AAAAAE6/v74=")</f>
        <v>#REF!</v>
      </c>
      <c r="GJ35" t="e">
        <f>AND(#REF!,"AAAAAE6/v78=")</f>
        <v>#REF!</v>
      </c>
      <c r="GK35" t="e">
        <f>AND(#REF!,"AAAAAE6/v8A=")</f>
        <v>#REF!</v>
      </c>
      <c r="GL35" t="e">
        <f>AND(#REF!,"AAAAAE6/v8E=")</f>
        <v>#REF!</v>
      </c>
      <c r="GM35" t="e">
        <f>AND(#REF!,"AAAAAE6/v8I=")</f>
        <v>#REF!</v>
      </c>
      <c r="GN35" t="e">
        <f>IF(#REF!,"AAAAAE6/v8M=",0)</f>
        <v>#REF!</v>
      </c>
      <c r="GO35" t="e">
        <f>AND(#REF!,"AAAAAE6/v8Q=")</f>
        <v>#REF!</v>
      </c>
      <c r="GP35" t="e">
        <f>AND(#REF!,"AAAAAE6/v8U=")</f>
        <v>#REF!</v>
      </c>
      <c r="GQ35" t="e">
        <f>AND(#REF!,"AAAAAE6/v8Y=")</f>
        <v>#REF!</v>
      </c>
      <c r="GR35" t="e">
        <f>AND(#REF!,"AAAAAE6/v8c=")</f>
        <v>#REF!</v>
      </c>
      <c r="GS35" t="e">
        <f>AND(#REF!,"AAAAAE6/v8g=")</f>
        <v>#REF!</v>
      </c>
      <c r="GT35" t="e">
        <f>AND(#REF!,"AAAAAE6/v8k=")</f>
        <v>#REF!</v>
      </c>
      <c r="GU35" t="e">
        <f>AND(#REF!,"AAAAAE6/v8o=")</f>
        <v>#REF!</v>
      </c>
      <c r="GV35" t="e">
        <f>AND(#REF!,"AAAAAE6/v8s=")</f>
        <v>#REF!</v>
      </c>
      <c r="GW35" t="e">
        <f>AND(#REF!,"AAAAAE6/v8w=")</f>
        <v>#REF!</v>
      </c>
      <c r="GX35" t="e">
        <f>AND(#REF!,"AAAAAE6/v80=")</f>
        <v>#REF!</v>
      </c>
      <c r="GY35" t="e">
        <f>AND(#REF!,"AAAAAE6/v84=")</f>
        <v>#REF!</v>
      </c>
      <c r="GZ35" t="e">
        <f>AND(#REF!,"AAAAAE6/v88=")</f>
        <v>#REF!</v>
      </c>
      <c r="HA35" t="e">
        <f>AND(#REF!,"AAAAAE6/v9A=")</f>
        <v>#REF!</v>
      </c>
      <c r="HB35" t="e">
        <f>IF(#REF!,"AAAAAE6/v9E=",0)</f>
        <v>#REF!</v>
      </c>
      <c r="HC35" t="e">
        <f>AND(#REF!,"AAAAAE6/v9I=")</f>
        <v>#REF!</v>
      </c>
      <c r="HD35" t="e">
        <f>AND(#REF!,"AAAAAE6/v9M=")</f>
        <v>#REF!</v>
      </c>
      <c r="HE35" t="e">
        <f>AND(#REF!,"AAAAAE6/v9Q=")</f>
        <v>#REF!</v>
      </c>
      <c r="HF35" t="e">
        <f>AND(#REF!,"AAAAAE6/v9U=")</f>
        <v>#REF!</v>
      </c>
      <c r="HG35" t="e">
        <f>AND(#REF!,"AAAAAE6/v9Y=")</f>
        <v>#REF!</v>
      </c>
      <c r="HH35" t="e">
        <f>AND(#REF!,"AAAAAE6/v9c=")</f>
        <v>#REF!</v>
      </c>
      <c r="HI35" t="e">
        <f>AND(#REF!,"AAAAAE6/v9g=")</f>
        <v>#REF!</v>
      </c>
      <c r="HJ35" t="e">
        <f>AND(#REF!,"AAAAAE6/v9k=")</f>
        <v>#REF!</v>
      </c>
      <c r="HK35" t="e">
        <f>AND(#REF!,"AAAAAE6/v9o=")</f>
        <v>#REF!</v>
      </c>
      <c r="HL35" t="e">
        <f>AND(#REF!,"AAAAAE6/v9s=")</f>
        <v>#REF!</v>
      </c>
      <c r="HM35" t="e">
        <f>AND(#REF!,"AAAAAE6/v9w=")</f>
        <v>#REF!</v>
      </c>
      <c r="HN35" t="e">
        <f>AND(#REF!,"AAAAAE6/v90=")</f>
        <v>#REF!</v>
      </c>
      <c r="HO35" t="e">
        <f>AND(#REF!,"AAAAAE6/v94=")</f>
        <v>#REF!</v>
      </c>
      <c r="HP35" t="e">
        <f>IF(#REF!,"AAAAAE6/v98=",0)</f>
        <v>#REF!</v>
      </c>
      <c r="HQ35" t="e">
        <f>AND(#REF!,"AAAAAE6/v+A=")</f>
        <v>#REF!</v>
      </c>
      <c r="HR35" t="e">
        <f>AND(#REF!,"AAAAAE6/v+E=")</f>
        <v>#REF!</v>
      </c>
      <c r="HS35" t="e">
        <f>AND(#REF!,"AAAAAE6/v+I=")</f>
        <v>#REF!</v>
      </c>
      <c r="HT35" t="e">
        <f>AND(#REF!,"AAAAAE6/v+M=")</f>
        <v>#REF!</v>
      </c>
      <c r="HU35" t="e">
        <f>AND(#REF!,"AAAAAE6/v+Q=")</f>
        <v>#REF!</v>
      </c>
      <c r="HV35" t="e">
        <f>AND(#REF!,"AAAAAE6/v+U=")</f>
        <v>#REF!</v>
      </c>
      <c r="HW35" t="e">
        <f>AND(#REF!,"AAAAAE6/v+Y=")</f>
        <v>#REF!</v>
      </c>
      <c r="HX35" t="e">
        <f>AND(#REF!,"AAAAAE6/v+c=")</f>
        <v>#REF!</v>
      </c>
      <c r="HY35" t="e">
        <f>AND(#REF!,"AAAAAE6/v+g=")</f>
        <v>#REF!</v>
      </c>
      <c r="HZ35" t="e">
        <f>AND(#REF!,"AAAAAE6/v+k=")</f>
        <v>#REF!</v>
      </c>
      <c r="IA35" t="e">
        <f>AND(#REF!,"AAAAAE6/v+o=")</f>
        <v>#REF!</v>
      </c>
      <c r="IB35" t="e">
        <f>AND(#REF!,"AAAAAE6/v+s=")</f>
        <v>#REF!</v>
      </c>
      <c r="IC35" t="e">
        <f>AND(#REF!,"AAAAAE6/v+w=")</f>
        <v>#REF!</v>
      </c>
      <c r="ID35" t="e">
        <f>IF(#REF!,"AAAAAE6/v+0=",0)</f>
        <v>#REF!</v>
      </c>
      <c r="IE35" t="e">
        <f>AND(#REF!,"AAAAAE6/v+4=")</f>
        <v>#REF!</v>
      </c>
      <c r="IF35" t="e">
        <f>AND(#REF!,"AAAAAE6/v+8=")</f>
        <v>#REF!</v>
      </c>
      <c r="IG35" t="e">
        <f>AND(#REF!,"AAAAAE6/v/A=")</f>
        <v>#REF!</v>
      </c>
      <c r="IH35" t="e">
        <f>AND(#REF!,"AAAAAE6/v/E=")</f>
        <v>#REF!</v>
      </c>
      <c r="II35" t="e">
        <f>AND(#REF!,"AAAAAE6/v/I=")</f>
        <v>#REF!</v>
      </c>
      <c r="IJ35" t="e">
        <f>AND(#REF!,"AAAAAE6/v/M=")</f>
        <v>#REF!</v>
      </c>
      <c r="IK35" t="e">
        <f>AND(#REF!,"AAAAAE6/v/Q=")</f>
        <v>#REF!</v>
      </c>
      <c r="IL35" t="e">
        <f>AND(#REF!,"AAAAAE6/v/U=")</f>
        <v>#REF!</v>
      </c>
      <c r="IM35" t="e">
        <f>AND(#REF!,"AAAAAE6/v/Y=")</f>
        <v>#REF!</v>
      </c>
      <c r="IN35" t="e">
        <f>AND(#REF!,"AAAAAE6/v/c=")</f>
        <v>#REF!</v>
      </c>
      <c r="IO35" t="e">
        <f>AND(#REF!,"AAAAAE6/v/g=")</f>
        <v>#REF!</v>
      </c>
      <c r="IP35" t="e">
        <f>AND(#REF!,"AAAAAE6/v/k=")</f>
        <v>#REF!</v>
      </c>
      <c r="IQ35" t="e">
        <f>AND(#REF!,"AAAAAE6/v/o=")</f>
        <v>#REF!</v>
      </c>
      <c r="IR35" t="e">
        <f>IF(#REF!,"AAAAAE6/v/s=",0)</f>
        <v>#REF!</v>
      </c>
      <c r="IS35" t="e">
        <f>AND(#REF!,"AAAAAE6/v/w=")</f>
        <v>#REF!</v>
      </c>
      <c r="IT35" t="e">
        <f>AND(#REF!,"AAAAAE6/v/0=")</f>
        <v>#REF!</v>
      </c>
      <c r="IU35" t="e">
        <f>AND(#REF!,"AAAAAE6/v/4=")</f>
        <v>#REF!</v>
      </c>
      <c r="IV35" t="e">
        <f>AND(#REF!,"AAAAAE6/v/8=")</f>
        <v>#REF!</v>
      </c>
    </row>
    <row r="36" spans="1:256" x14ac:dyDescent="0.2">
      <c r="A36" t="e">
        <f>AND(#REF!,"AAAAAE//rAA=")</f>
        <v>#REF!</v>
      </c>
      <c r="B36" t="e">
        <f>AND(#REF!,"AAAAAE//rAE=")</f>
        <v>#REF!</v>
      </c>
      <c r="C36" t="e">
        <f>AND(#REF!,"AAAAAE//rAI=")</f>
        <v>#REF!</v>
      </c>
      <c r="D36" t="e">
        <f>AND(#REF!,"AAAAAE//rAM=")</f>
        <v>#REF!</v>
      </c>
      <c r="E36" t="e">
        <f>AND(#REF!,"AAAAAE//rAQ=")</f>
        <v>#REF!</v>
      </c>
      <c r="F36" t="e">
        <f>AND(#REF!,"AAAAAE//rAU=")</f>
        <v>#REF!</v>
      </c>
      <c r="G36" t="e">
        <f>AND(#REF!,"AAAAAE//rAY=")</f>
        <v>#REF!</v>
      </c>
      <c r="H36" t="e">
        <f>AND(#REF!,"AAAAAE//rAc=")</f>
        <v>#REF!</v>
      </c>
      <c r="I36" t="e">
        <f>AND(#REF!,"AAAAAE//rAg=")</f>
        <v>#REF!</v>
      </c>
      <c r="J36" t="e">
        <f>IF(#REF!,"AAAAAE//rAk=",0)</f>
        <v>#REF!</v>
      </c>
      <c r="K36" t="e">
        <f>AND(#REF!,"AAAAAE//rAo=")</f>
        <v>#REF!</v>
      </c>
      <c r="L36" t="e">
        <f>AND(#REF!,"AAAAAE//rAs=")</f>
        <v>#REF!</v>
      </c>
      <c r="M36" t="e">
        <f>AND(#REF!,"AAAAAE//rAw=")</f>
        <v>#REF!</v>
      </c>
      <c r="N36" t="e">
        <f>AND(#REF!,"AAAAAE//rA0=")</f>
        <v>#REF!</v>
      </c>
      <c r="O36" t="e">
        <f>AND(#REF!,"AAAAAE//rA4=")</f>
        <v>#REF!</v>
      </c>
      <c r="P36" t="e">
        <f>AND(#REF!,"AAAAAE//rA8=")</f>
        <v>#REF!</v>
      </c>
      <c r="Q36" t="e">
        <f>AND(#REF!,"AAAAAE//rBA=")</f>
        <v>#REF!</v>
      </c>
      <c r="R36" t="e">
        <f>AND(#REF!,"AAAAAE//rBE=")</f>
        <v>#REF!</v>
      </c>
      <c r="S36" t="e">
        <f>AND(#REF!,"AAAAAE//rBI=")</f>
        <v>#REF!</v>
      </c>
      <c r="T36" t="e">
        <f>AND(#REF!,"AAAAAE//rBM=")</f>
        <v>#REF!</v>
      </c>
      <c r="U36" t="e">
        <f>AND(#REF!,"AAAAAE//rBQ=")</f>
        <v>#REF!</v>
      </c>
      <c r="V36" t="e">
        <f>AND(#REF!,"AAAAAE//rBU=")</f>
        <v>#REF!</v>
      </c>
      <c r="W36" t="e">
        <f>AND(#REF!,"AAAAAE//rBY=")</f>
        <v>#REF!</v>
      </c>
      <c r="X36" t="e">
        <f>IF(#REF!,"AAAAAE//rBc=",0)</f>
        <v>#REF!</v>
      </c>
      <c r="Y36" t="e">
        <f>AND(#REF!,"AAAAAE//rBg=")</f>
        <v>#REF!</v>
      </c>
      <c r="Z36" t="e">
        <f>AND(#REF!,"AAAAAE//rBk=")</f>
        <v>#REF!</v>
      </c>
      <c r="AA36" t="e">
        <f>AND(#REF!,"AAAAAE//rBo=")</f>
        <v>#REF!</v>
      </c>
      <c r="AB36" t="e">
        <f>AND(#REF!,"AAAAAE//rBs=")</f>
        <v>#REF!</v>
      </c>
      <c r="AC36" t="e">
        <f>AND(#REF!,"AAAAAE//rBw=")</f>
        <v>#REF!</v>
      </c>
      <c r="AD36" t="e">
        <f>AND(#REF!,"AAAAAE//rB0=")</f>
        <v>#REF!</v>
      </c>
      <c r="AE36" t="e">
        <f>AND(#REF!,"AAAAAE//rB4=")</f>
        <v>#REF!</v>
      </c>
      <c r="AF36" t="e">
        <f>AND(#REF!,"AAAAAE//rB8=")</f>
        <v>#REF!</v>
      </c>
      <c r="AG36" t="e">
        <f>AND(#REF!,"AAAAAE//rCA=")</f>
        <v>#REF!</v>
      </c>
      <c r="AH36" t="e">
        <f>AND(#REF!,"AAAAAE//rCE=")</f>
        <v>#REF!</v>
      </c>
      <c r="AI36" t="e">
        <f>AND(#REF!,"AAAAAE//rCI=")</f>
        <v>#REF!</v>
      </c>
      <c r="AJ36" t="e">
        <f>AND(#REF!,"AAAAAE//rCM=")</f>
        <v>#REF!</v>
      </c>
      <c r="AK36" t="e">
        <f>AND(#REF!,"AAAAAE//rCQ=")</f>
        <v>#REF!</v>
      </c>
      <c r="AL36" t="e">
        <f>IF(#REF!,"AAAAAE//rCU=",0)</f>
        <v>#REF!</v>
      </c>
      <c r="AM36" t="e">
        <f>AND(#REF!,"AAAAAE//rCY=")</f>
        <v>#REF!</v>
      </c>
      <c r="AN36" t="e">
        <f>AND(#REF!,"AAAAAE//rCc=")</f>
        <v>#REF!</v>
      </c>
      <c r="AO36" t="e">
        <f>AND(#REF!,"AAAAAE//rCg=")</f>
        <v>#REF!</v>
      </c>
      <c r="AP36" t="e">
        <f>AND(#REF!,"AAAAAE//rCk=")</f>
        <v>#REF!</v>
      </c>
      <c r="AQ36" t="e">
        <f>AND(#REF!,"AAAAAE//rCo=")</f>
        <v>#REF!</v>
      </c>
      <c r="AR36" t="e">
        <f>AND(#REF!,"AAAAAE//rCs=")</f>
        <v>#REF!</v>
      </c>
      <c r="AS36" t="e">
        <f>AND(#REF!,"AAAAAE//rCw=")</f>
        <v>#REF!</v>
      </c>
      <c r="AT36" t="e">
        <f>AND(#REF!,"AAAAAE//rC0=")</f>
        <v>#REF!</v>
      </c>
      <c r="AU36" t="e">
        <f>AND(#REF!,"AAAAAE//rC4=")</f>
        <v>#REF!</v>
      </c>
      <c r="AV36" t="e">
        <f>AND(#REF!,"AAAAAE//rC8=")</f>
        <v>#REF!</v>
      </c>
      <c r="AW36" t="e">
        <f>AND(#REF!,"AAAAAE//rDA=")</f>
        <v>#REF!</v>
      </c>
      <c r="AX36" t="e">
        <f>AND(#REF!,"AAAAAE//rDE=")</f>
        <v>#REF!</v>
      </c>
      <c r="AY36" t="e">
        <f>AND(#REF!,"AAAAAE//rDI=")</f>
        <v>#REF!</v>
      </c>
      <c r="AZ36" t="e">
        <f>IF(#REF!,"AAAAAE//rDM=",0)</f>
        <v>#REF!</v>
      </c>
      <c r="BA36" t="e">
        <f>AND(#REF!,"AAAAAE//rDQ=")</f>
        <v>#REF!</v>
      </c>
      <c r="BB36" t="e">
        <f>AND(#REF!,"AAAAAE//rDU=")</f>
        <v>#REF!</v>
      </c>
      <c r="BC36" t="e">
        <f>AND(#REF!,"AAAAAE//rDY=")</f>
        <v>#REF!</v>
      </c>
      <c r="BD36" t="e">
        <f>AND(#REF!,"AAAAAE//rDc=")</f>
        <v>#REF!</v>
      </c>
      <c r="BE36" t="e">
        <f>AND(#REF!,"AAAAAE//rDg=")</f>
        <v>#REF!</v>
      </c>
      <c r="BF36" t="e">
        <f>AND(#REF!,"AAAAAE//rDk=")</f>
        <v>#REF!</v>
      </c>
      <c r="BG36" t="e">
        <f>AND(#REF!,"AAAAAE//rDo=")</f>
        <v>#REF!</v>
      </c>
      <c r="BH36" t="e">
        <f>AND(#REF!,"AAAAAE//rDs=")</f>
        <v>#REF!</v>
      </c>
      <c r="BI36" t="e">
        <f>AND(#REF!,"AAAAAE//rDw=")</f>
        <v>#REF!</v>
      </c>
      <c r="BJ36" t="e">
        <f>AND(#REF!,"AAAAAE//rD0=")</f>
        <v>#REF!</v>
      </c>
      <c r="BK36" t="e">
        <f>AND(#REF!,"AAAAAE//rD4=")</f>
        <v>#REF!</v>
      </c>
      <c r="BL36" t="e">
        <f>AND(#REF!,"AAAAAE//rD8=")</f>
        <v>#REF!</v>
      </c>
      <c r="BM36" t="e">
        <f>AND(#REF!,"AAAAAE//rEA=")</f>
        <v>#REF!</v>
      </c>
      <c r="BN36" t="e">
        <f>IF(#REF!,"AAAAAE//rEE=",0)</f>
        <v>#REF!</v>
      </c>
      <c r="BO36" t="e">
        <f>AND(#REF!,"AAAAAE//rEI=")</f>
        <v>#REF!</v>
      </c>
      <c r="BP36" t="e">
        <f>AND(#REF!,"AAAAAE//rEM=")</f>
        <v>#REF!</v>
      </c>
      <c r="BQ36" t="e">
        <f>AND(#REF!,"AAAAAE//rEQ=")</f>
        <v>#REF!</v>
      </c>
      <c r="BR36" t="e">
        <f>AND(#REF!,"AAAAAE//rEU=")</f>
        <v>#REF!</v>
      </c>
      <c r="BS36" t="e">
        <f>AND(#REF!,"AAAAAE//rEY=")</f>
        <v>#REF!</v>
      </c>
      <c r="BT36" t="e">
        <f>AND(#REF!,"AAAAAE//rEc=")</f>
        <v>#REF!</v>
      </c>
      <c r="BU36" t="e">
        <f>AND(#REF!,"AAAAAE//rEg=")</f>
        <v>#REF!</v>
      </c>
      <c r="BV36" t="e">
        <f>AND(#REF!,"AAAAAE//rEk=")</f>
        <v>#REF!</v>
      </c>
      <c r="BW36" t="e">
        <f>AND(#REF!,"AAAAAE//rEo=")</f>
        <v>#REF!</v>
      </c>
      <c r="BX36" t="e">
        <f>AND(#REF!,"AAAAAE//rEs=")</f>
        <v>#REF!</v>
      </c>
      <c r="BY36" t="e">
        <f>AND(#REF!,"AAAAAE//rEw=")</f>
        <v>#REF!</v>
      </c>
      <c r="BZ36" t="e">
        <f>AND(#REF!,"AAAAAE//rE0=")</f>
        <v>#REF!</v>
      </c>
      <c r="CA36" t="e">
        <f>AND(#REF!,"AAAAAE//rE4=")</f>
        <v>#REF!</v>
      </c>
      <c r="CB36" t="e">
        <f>IF(#REF!,"AAAAAE//rE8=",0)</f>
        <v>#REF!</v>
      </c>
      <c r="CC36" t="e">
        <f>AND(#REF!,"AAAAAE//rFA=")</f>
        <v>#REF!</v>
      </c>
      <c r="CD36" t="e">
        <f>AND(#REF!,"AAAAAE//rFE=")</f>
        <v>#REF!</v>
      </c>
      <c r="CE36" t="e">
        <f>AND(#REF!,"AAAAAE//rFI=")</f>
        <v>#REF!</v>
      </c>
      <c r="CF36" t="e">
        <f>AND(#REF!,"AAAAAE//rFM=")</f>
        <v>#REF!</v>
      </c>
      <c r="CG36" t="e">
        <f>AND(#REF!,"AAAAAE//rFQ=")</f>
        <v>#REF!</v>
      </c>
      <c r="CH36" t="e">
        <f>AND(#REF!,"AAAAAE//rFU=")</f>
        <v>#REF!</v>
      </c>
      <c r="CI36" t="e">
        <f>AND(#REF!,"AAAAAE//rFY=")</f>
        <v>#REF!</v>
      </c>
      <c r="CJ36" t="e">
        <f>AND(#REF!,"AAAAAE//rFc=")</f>
        <v>#REF!</v>
      </c>
      <c r="CK36" t="e">
        <f>AND(#REF!,"AAAAAE//rFg=")</f>
        <v>#REF!</v>
      </c>
      <c r="CL36" t="e">
        <f>AND(#REF!,"AAAAAE//rFk=")</f>
        <v>#REF!</v>
      </c>
      <c r="CM36" t="e">
        <f>AND(#REF!,"AAAAAE//rFo=")</f>
        <v>#REF!</v>
      </c>
      <c r="CN36" t="e">
        <f>AND(#REF!,"AAAAAE//rFs=")</f>
        <v>#REF!</v>
      </c>
      <c r="CO36" t="e">
        <f>AND(#REF!,"AAAAAE//rFw=")</f>
        <v>#REF!</v>
      </c>
      <c r="CP36" t="e">
        <f>IF(#REF!,"AAAAAE//rF0=",0)</f>
        <v>#REF!</v>
      </c>
      <c r="CQ36" t="e">
        <f>AND(#REF!,"AAAAAE//rF4=")</f>
        <v>#REF!</v>
      </c>
      <c r="CR36" t="e">
        <f>AND(#REF!,"AAAAAE//rF8=")</f>
        <v>#REF!</v>
      </c>
      <c r="CS36" t="e">
        <f>AND(#REF!,"AAAAAE//rGA=")</f>
        <v>#REF!</v>
      </c>
      <c r="CT36" t="e">
        <f>AND(#REF!,"AAAAAE//rGE=")</f>
        <v>#REF!</v>
      </c>
      <c r="CU36" t="e">
        <f>AND(#REF!,"AAAAAE//rGI=")</f>
        <v>#REF!</v>
      </c>
      <c r="CV36" t="e">
        <f>AND(#REF!,"AAAAAE//rGM=")</f>
        <v>#REF!</v>
      </c>
      <c r="CW36" t="e">
        <f>AND(#REF!,"AAAAAE//rGQ=")</f>
        <v>#REF!</v>
      </c>
      <c r="CX36" t="e">
        <f>AND(#REF!,"AAAAAE//rGU=")</f>
        <v>#REF!</v>
      </c>
      <c r="CY36" t="e">
        <f>AND(#REF!,"AAAAAE//rGY=")</f>
        <v>#REF!</v>
      </c>
      <c r="CZ36" t="e">
        <f>AND(#REF!,"AAAAAE//rGc=")</f>
        <v>#REF!</v>
      </c>
      <c r="DA36" t="e">
        <f>AND(#REF!,"AAAAAE//rGg=")</f>
        <v>#REF!</v>
      </c>
      <c r="DB36" t="e">
        <f>AND(#REF!,"AAAAAE//rGk=")</f>
        <v>#REF!</v>
      </c>
      <c r="DC36" t="e">
        <f>AND(#REF!,"AAAAAE//rGo=")</f>
        <v>#REF!</v>
      </c>
      <c r="DD36" t="e">
        <f>IF(#REF!,"AAAAAE//rGs=",0)</f>
        <v>#REF!</v>
      </c>
      <c r="DE36" t="e">
        <f>AND(#REF!,"AAAAAE//rGw=")</f>
        <v>#REF!</v>
      </c>
      <c r="DF36" t="e">
        <f>AND(#REF!,"AAAAAE//rG0=")</f>
        <v>#REF!</v>
      </c>
      <c r="DG36" t="e">
        <f>AND(#REF!,"AAAAAE//rG4=")</f>
        <v>#REF!</v>
      </c>
      <c r="DH36" t="e">
        <f>AND(#REF!,"AAAAAE//rG8=")</f>
        <v>#REF!</v>
      </c>
      <c r="DI36" t="e">
        <f>AND(#REF!,"AAAAAE//rHA=")</f>
        <v>#REF!</v>
      </c>
      <c r="DJ36" t="e">
        <f>AND(#REF!,"AAAAAE//rHE=")</f>
        <v>#REF!</v>
      </c>
      <c r="DK36" t="e">
        <f>AND(#REF!,"AAAAAE//rHI=")</f>
        <v>#REF!</v>
      </c>
      <c r="DL36" t="e">
        <f>AND(#REF!,"AAAAAE//rHM=")</f>
        <v>#REF!</v>
      </c>
      <c r="DM36" t="e">
        <f>AND(#REF!,"AAAAAE//rHQ=")</f>
        <v>#REF!</v>
      </c>
      <c r="DN36" t="e">
        <f>AND(#REF!,"AAAAAE//rHU=")</f>
        <v>#REF!</v>
      </c>
      <c r="DO36" t="e">
        <f>AND(#REF!,"AAAAAE//rHY=")</f>
        <v>#REF!</v>
      </c>
      <c r="DP36" t="e">
        <f>AND(#REF!,"AAAAAE//rHc=")</f>
        <v>#REF!</v>
      </c>
      <c r="DQ36" t="e">
        <f>AND(#REF!,"AAAAAE//rHg=")</f>
        <v>#REF!</v>
      </c>
      <c r="DR36" t="e">
        <f>IF(#REF!,"AAAAAE//rHk=",0)</f>
        <v>#REF!</v>
      </c>
      <c r="DS36" t="e">
        <f>AND(#REF!,"AAAAAE//rHo=")</f>
        <v>#REF!</v>
      </c>
      <c r="DT36" t="e">
        <f>AND(#REF!,"AAAAAE//rHs=")</f>
        <v>#REF!</v>
      </c>
      <c r="DU36" t="e">
        <f>AND(#REF!,"AAAAAE//rHw=")</f>
        <v>#REF!</v>
      </c>
      <c r="DV36" t="e">
        <f>AND(#REF!,"AAAAAE//rH0=")</f>
        <v>#REF!</v>
      </c>
      <c r="DW36" t="e">
        <f>AND(#REF!,"AAAAAE//rH4=")</f>
        <v>#REF!</v>
      </c>
      <c r="DX36" t="e">
        <f>AND(#REF!,"AAAAAE//rH8=")</f>
        <v>#REF!</v>
      </c>
      <c r="DY36" t="e">
        <f>AND(#REF!,"AAAAAE//rIA=")</f>
        <v>#REF!</v>
      </c>
      <c r="DZ36" t="e">
        <f>AND(#REF!,"AAAAAE//rIE=")</f>
        <v>#REF!</v>
      </c>
      <c r="EA36" t="e">
        <f>AND(#REF!,"AAAAAE//rII=")</f>
        <v>#REF!</v>
      </c>
      <c r="EB36" t="e">
        <f>AND(#REF!,"AAAAAE//rIM=")</f>
        <v>#REF!</v>
      </c>
      <c r="EC36" t="e">
        <f>AND(#REF!,"AAAAAE//rIQ=")</f>
        <v>#REF!</v>
      </c>
      <c r="ED36" t="e">
        <f>AND(#REF!,"AAAAAE//rIU=")</f>
        <v>#REF!</v>
      </c>
      <c r="EE36" t="e">
        <f>AND(#REF!,"AAAAAE//rIY=")</f>
        <v>#REF!</v>
      </c>
      <c r="EF36" t="e">
        <f>IF(#REF!,"AAAAAE//rIc=",0)</f>
        <v>#REF!</v>
      </c>
      <c r="EG36" t="e">
        <f>AND(#REF!,"AAAAAE//rIg=")</f>
        <v>#REF!</v>
      </c>
      <c r="EH36" t="e">
        <f>AND(#REF!,"AAAAAE//rIk=")</f>
        <v>#REF!</v>
      </c>
      <c r="EI36" t="e">
        <f>AND(#REF!,"AAAAAE//rIo=")</f>
        <v>#REF!</v>
      </c>
      <c r="EJ36" t="e">
        <f>AND(#REF!,"AAAAAE//rIs=")</f>
        <v>#REF!</v>
      </c>
      <c r="EK36" t="e">
        <f>AND(#REF!,"AAAAAE//rIw=")</f>
        <v>#REF!</v>
      </c>
      <c r="EL36" t="e">
        <f>AND(#REF!,"AAAAAE//rI0=")</f>
        <v>#REF!</v>
      </c>
      <c r="EM36" t="e">
        <f>AND(#REF!,"AAAAAE//rI4=")</f>
        <v>#REF!</v>
      </c>
      <c r="EN36" t="e">
        <f>AND(#REF!,"AAAAAE//rI8=")</f>
        <v>#REF!</v>
      </c>
      <c r="EO36" t="e">
        <f>AND(#REF!,"AAAAAE//rJA=")</f>
        <v>#REF!</v>
      </c>
      <c r="EP36" t="e">
        <f>AND(#REF!,"AAAAAE//rJE=")</f>
        <v>#REF!</v>
      </c>
      <c r="EQ36" t="e">
        <f>AND(#REF!,"AAAAAE//rJI=")</f>
        <v>#REF!</v>
      </c>
      <c r="ER36" t="e">
        <f>AND(#REF!,"AAAAAE//rJM=")</f>
        <v>#REF!</v>
      </c>
      <c r="ES36" t="e">
        <f>AND(#REF!,"AAAAAE//rJQ=")</f>
        <v>#REF!</v>
      </c>
      <c r="ET36" t="e">
        <f>IF(#REF!,"AAAAAE//rJU=",0)</f>
        <v>#REF!</v>
      </c>
      <c r="EU36" t="e">
        <f>AND(#REF!,"AAAAAE//rJY=")</f>
        <v>#REF!</v>
      </c>
      <c r="EV36" t="e">
        <f>AND(#REF!,"AAAAAE//rJc=")</f>
        <v>#REF!</v>
      </c>
      <c r="EW36" t="e">
        <f>AND(#REF!,"AAAAAE//rJg=")</f>
        <v>#REF!</v>
      </c>
      <c r="EX36" t="e">
        <f>AND(#REF!,"AAAAAE//rJk=")</f>
        <v>#REF!</v>
      </c>
      <c r="EY36" t="e">
        <f>AND(#REF!,"AAAAAE//rJo=")</f>
        <v>#REF!</v>
      </c>
      <c r="EZ36" t="e">
        <f>AND(#REF!,"AAAAAE//rJs=")</f>
        <v>#REF!</v>
      </c>
      <c r="FA36" t="e">
        <f>AND(#REF!,"AAAAAE//rJw=")</f>
        <v>#REF!</v>
      </c>
      <c r="FB36" t="e">
        <f>AND(#REF!,"AAAAAE//rJ0=")</f>
        <v>#REF!</v>
      </c>
      <c r="FC36" t="e">
        <f>AND(#REF!,"AAAAAE//rJ4=")</f>
        <v>#REF!</v>
      </c>
      <c r="FD36" t="e">
        <f>AND(#REF!,"AAAAAE//rJ8=")</f>
        <v>#REF!</v>
      </c>
      <c r="FE36" t="e">
        <f>AND(#REF!,"AAAAAE//rKA=")</f>
        <v>#REF!</v>
      </c>
      <c r="FF36" t="e">
        <f>AND(#REF!,"AAAAAE//rKE=")</f>
        <v>#REF!</v>
      </c>
      <c r="FG36" t="e">
        <f>AND(#REF!,"AAAAAE//rKI=")</f>
        <v>#REF!</v>
      </c>
      <c r="FH36" t="e">
        <f>IF(#REF!,"AAAAAE//rKM=",0)</f>
        <v>#REF!</v>
      </c>
      <c r="FI36" t="e">
        <f>AND(#REF!,"AAAAAE//rKQ=")</f>
        <v>#REF!</v>
      </c>
      <c r="FJ36" t="e">
        <f>AND(#REF!,"AAAAAE//rKU=")</f>
        <v>#REF!</v>
      </c>
      <c r="FK36" t="e">
        <f>AND(#REF!,"AAAAAE//rKY=")</f>
        <v>#REF!</v>
      </c>
      <c r="FL36" t="e">
        <f>AND(#REF!,"AAAAAE//rKc=")</f>
        <v>#REF!</v>
      </c>
      <c r="FM36" t="e">
        <f>AND(#REF!,"AAAAAE//rKg=")</f>
        <v>#REF!</v>
      </c>
      <c r="FN36" t="e">
        <f>AND(#REF!,"AAAAAE//rKk=")</f>
        <v>#REF!</v>
      </c>
      <c r="FO36" t="e">
        <f>AND(#REF!,"AAAAAE//rKo=")</f>
        <v>#REF!</v>
      </c>
      <c r="FP36" t="e">
        <f>AND(#REF!,"AAAAAE//rKs=")</f>
        <v>#REF!</v>
      </c>
      <c r="FQ36" t="e">
        <f>AND(#REF!,"AAAAAE//rKw=")</f>
        <v>#REF!</v>
      </c>
      <c r="FR36" t="e">
        <f>AND(#REF!,"AAAAAE//rK0=")</f>
        <v>#REF!</v>
      </c>
      <c r="FS36" t="e">
        <f>AND(#REF!,"AAAAAE//rK4=")</f>
        <v>#REF!</v>
      </c>
      <c r="FT36" t="e">
        <f>AND(#REF!,"AAAAAE//rK8=")</f>
        <v>#REF!</v>
      </c>
      <c r="FU36" t="e">
        <f>AND(#REF!,"AAAAAE//rLA=")</f>
        <v>#REF!</v>
      </c>
      <c r="FV36" t="e">
        <f>IF(#REF!,"AAAAAE//rLE=",0)</f>
        <v>#REF!</v>
      </c>
      <c r="FW36" t="e">
        <f>AND(#REF!,"AAAAAE//rLI=")</f>
        <v>#REF!</v>
      </c>
      <c r="FX36" t="e">
        <f>AND(#REF!,"AAAAAE//rLM=")</f>
        <v>#REF!</v>
      </c>
      <c r="FY36" t="e">
        <f>AND(#REF!,"AAAAAE//rLQ=")</f>
        <v>#REF!</v>
      </c>
      <c r="FZ36" t="e">
        <f>AND(#REF!,"AAAAAE//rLU=")</f>
        <v>#REF!</v>
      </c>
      <c r="GA36" t="e">
        <f>AND(#REF!,"AAAAAE//rLY=")</f>
        <v>#REF!</v>
      </c>
      <c r="GB36" t="e">
        <f>AND(#REF!,"AAAAAE//rLc=")</f>
        <v>#REF!</v>
      </c>
      <c r="GC36" t="e">
        <f>AND(#REF!,"AAAAAE//rLg=")</f>
        <v>#REF!</v>
      </c>
      <c r="GD36" t="e">
        <f>AND(#REF!,"AAAAAE//rLk=")</f>
        <v>#REF!</v>
      </c>
      <c r="GE36" t="e">
        <f>AND(#REF!,"AAAAAE//rLo=")</f>
        <v>#REF!</v>
      </c>
      <c r="GF36" t="e">
        <f>AND(#REF!,"AAAAAE//rLs=")</f>
        <v>#REF!</v>
      </c>
      <c r="GG36" t="e">
        <f>AND(#REF!,"AAAAAE//rLw=")</f>
        <v>#REF!</v>
      </c>
      <c r="GH36" t="e">
        <f>AND(#REF!,"AAAAAE//rL0=")</f>
        <v>#REF!</v>
      </c>
      <c r="GI36" t="e">
        <f>AND(#REF!,"AAAAAE//rL4=")</f>
        <v>#REF!</v>
      </c>
      <c r="GJ36" t="e">
        <f>IF(#REF!,"AAAAAE//rL8=",0)</f>
        <v>#REF!</v>
      </c>
      <c r="GK36" t="e">
        <f>AND(#REF!,"AAAAAE//rMA=")</f>
        <v>#REF!</v>
      </c>
      <c r="GL36" t="e">
        <f>AND(#REF!,"AAAAAE//rME=")</f>
        <v>#REF!</v>
      </c>
      <c r="GM36" t="e">
        <f>AND(#REF!,"AAAAAE//rMI=")</f>
        <v>#REF!</v>
      </c>
      <c r="GN36" t="e">
        <f>AND(#REF!,"AAAAAE//rMM=")</f>
        <v>#REF!</v>
      </c>
      <c r="GO36" t="e">
        <f>AND(#REF!,"AAAAAE//rMQ=")</f>
        <v>#REF!</v>
      </c>
      <c r="GP36" t="e">
        <f>AND(#REF!,"AAAAAE//rMU=")</f>
        <v>#REF!</v>
      </c>
      <c r="GQ36" t="e">
        <f>AND(#REF!,"AAAAAE//rMY=")</f>
        <v>#REF!</v>
      </c>
      <c r="GR36" t="e">
        <f>AND(#REF!,"AAAAAE//rMc=")</f>
        <v>#REF!</v>
      </c>
      <c r="GS36" t="e">
        <f>AND(#REF!,"AAAAAE//rMg=")</f>
        <v>#REF!</v>
      </c>
      <c r="GT36" t="e">
        <f>AND(#REF!,"AAAAAE//rMk=")</f>
        <v>#REF!</v>
      </c>
      <c r="GU36" t="e">
        <f>AND(#REF!,"AAAAAE//rMo=")</f>
        <v>#REF!</v>
      </c>
      <c r="GV36" t="e">
        <f>AND(#REF!,"AAAAAE//rMs=")</f>
        <v>#REF!</v>
      </c>
      <c r="GW36" t="e">
        <f>AND(#REF!,"AAAAAE//rMw=")</f>
        <v>#REF!</v>
      </c>
      <c r="GX36" t="e">
        <f>IF(#REF!,"AAAAAE//rM0=",0)</f>
        <v>#REF!</v>
      </c>
      <c r="GY36" t="e">
        <f>AND(#REF!,"AAAAAE//rM4=")</f>
        <v>#REF!</v>
      </c>
      <c r="GZ36" t="e">
        <f>AND(#REF!,"AAAAAE//rM8=")</f>
        <v>#REF!</v>
      </c>
      <c r="HA36" t="e">
        <f>AND(#REF!,"AAAAAE//rNA=")</f>
        <v>#REF!</v>
      </c>
      <c r="HB36" t="e">
        <f>AND(#REF!,"AAAAAE//rNE=")</f>
        <v>#REF!</v>
      </c>
      <c r="HC36" t="e">
        <f>AND(#REF!,"AAAAAE//rNI=")</f>
        <v>#REF!</v>
      </c>
      <c r="HD36" t="e">
        <f>AND(#REF!,"AAAAAE//rNM=")</f>
        <v>#REF!</v>
      </c>
      <c r="HE36" t="e">
        <f>AND(#REF!,"AAAAAE//rNQ=")</f>
        <v>#REF!</v>
      </c>
      <c r="HF36" t="e">
        <f>AND(#REF!,"AAAAAE//rNU=")</f>
        <v>#REF!</v>
      </c>
      <c r="HG36" t="e">
        <f>AND(#REF!,"AAAAAE//rNY=")</f>
        <v>#REF!</v>
      </c>
      <c r="HH36" t="e">
        <f>AND(#REF!,"AAAAAE//rNc=")</f>
        <v>#REF!</v>
      </c>
      <c r="HI36" t="e">
        <f>AND(#REF!,"AAAAAE//rNg=")</f>
        <v>#REF!</v>
      </c>
      <c r="HJ36" t="e">
        <f>AND(#REF!,"AAAAAE//rNk=")</f>
        <v>#REF!</v>
      </c>
      <c r="HK36" t="e">
        <f>AND(#REF!,"AAAAAE//rNo=")</f>
        <v>#REF!</v>
      </c>
      <c r="HL36" t="e">
        <f>IF(#REF!,"AAAAAE//rNs=",0)</f>
        <v>#REF!</v>
      </c>
      <c r="HM36" t="e">
        <f>AND(#REF!,"AAAAAE//rNw=")</f>
        <v>#REF!</v>
      </c>
      <c r="HN36" t="e">
        <f>AND(#REF!,"AAAAAE//rN0=")</f>
        <v>#REF!</v>
      </c>
      <c r="HO36" t="e">
        <f>AND(#REF!,"AAAAAE//rN4=")</f>
        <v>#REF!</v>
      </c>
      <c r="HP36" t="e">
        <f>AND(#REF!,"AAAAAE//rN8=")</f>
        <v>#REF!</v>
      </c>
      <c r="HQ36" t="e">
        <f>AND(#REF!,"AAAAAE//rOA=")</f>
        <v>#REF!</v>
      </c>
      <c r="HR36" t="e">
        <f>AND(#REF!,"AAAAAE//rOE=")</f>
        <v>#REF!</v>
      </c>
      <c r="HS36" t="e">
        <f>AND(#REF!,"AAAAAE//rOI=")</f>
        <v>#REF!</v>
      </c>
      <c r="HT36" t="e">
        <f>AND(#REF!,"AAAAAE//rOM=")</f>
        <v>#REF!</v>
      </c>
      <c r="HU36" t="e">
        <f>AND(#REF!,"AAAAAE//rOQ=")</f>
        <v>#REF!</v>
      </c>
      <c r="HV36" t="e">
        <f>AND(#REF!,"AAAAAE//rOU=")</f>
        <v>#REF!</v>
      </c>
      <c r="HW36" t="e">
        <f>AND(#REF!,"AAAAAE//rOY=")</f>
        <v>#REF!</v>
      </c>
      <c r="HX36" t="e">
        <f>AND(#REF!,"AAAAAE//rOc=")</f>
        <v>#REF!</v>
      </c>
      <c r="HY36" t="e">
        <f>AND(#REF!,"AAAAAE//rOg=")</f>
        <v>#REF!</v>
      </c>
      <c r="HZ36" t="e">
        <f>IF(#REF!,"AAAAAE//rOk=",0)</f>
        <v>#REF!</v>
      </c>
      <c r="IA36" t="e">
        <f>AND(#REF!,"AAAAAE//rOo=")</f>
        <v>#REF!</v>
      </c>
      <c r="IB36" t="e">
        <f>AND(#REF!,"AAAAAE//rOs=")</f>
        <v>#REF!</v>
      </c>
      <c r="IC36" t="e">
        <f>AND(#REF!,"AAAAAE//rOw=")</f>
        <v>#REF!</v>
      </c>
      <c r="ID36" t="e">
        <f>AND(#REF!,"AAAAAE//rO0=")</f>
        <v>#REF!</v>
      </c>
      <c r="IE36" t="e">
        <f>AND(#REF!,"AAAAAE//rO4=")</f>
        <v>#REF!</v>
      </c>
      <c r="IF36" t="e">
        <f>AND(#REF!,"AAAAAE//rO8=")</f>
        <v>#REF!</v>
      </c>
      <c r="IG36" t="e">
        <f>AND(#REF!,"AAAAAE//rPA=")</f>
        <v>#REF!</v>
      </c>
      <c r="IH36" t="e">
        <f>AND(#REF!,"AAAAAE//rPE=")</f>
        <v>#REF!</v>
      </c>
      <c r="II36" t="e">
        <f>AND(#REF!,"AAAAAE//rPI=")</f>
        <v>#REF!</v>
      </c>
      <c r="IJ36" t="e">
        <f>AND(#REF!,"AAAAAE//rPM=")</f>
        <v>#REF!</v>
      </c>
      <c r="IK36" t="e">
        <f>AND(#REF!,"AAAAAE//rPQ=")</f>
        <v>#REF!</v>
      </c>
      <c r="IL36" t="e">
        <f>AND(#REF!,"AAAAAE//rPU=")</f>
        <v>#REF!</v>
      </c>
      <c r="IM36" t="e">
        <f>AND(#REF!,"AAAAAE//rPY=")</f>
        <v>#REF!</v>
      </c>
      <c r="IN36" t="e">
        <f>IF(#REF!,"AAAAAE//rPc=",0)</f>
        <v>#REF!</v>
      </c>
      <c r="IO36" t="e">
        <f>AND(#REF!,"AAAAAE//rPg=")</f>
        <v>#REF!</v>
      </c>
      <c r="IP36" t="e">
        <f>AND(#REF!,"AAAAAE//rPk=")</f>
        <v>#REF!</v>
      </c>
      <c r="IQ36" t="e">
        <f>AND(#REF!,"AAAAAE//rPo=")</f>
        <v>#REF!</v>
      </c>
      <c r="IR36" t="e">
        <f>AND(#REF!,"AAAAAE//rPs=")</f>
        <v>#REF!</v>
      </c>
      <c r="IS36" t="e">
        <f>AND(#REF!,"AAAAAE//rPw=")</f>
        <v>#REF!</v>
      </c>
      <c r="IT36" t="e">
        <f>AND(#REF!,"AAAAAE//rP0=")</f>
        <v>#REF!</v>
      </c>
      <c r="IU36" t="e">
        <f>AND(#REF!,"AAAAAE//rP4=")</f>
        <v>#REF!</v>
      </c>
      <c r="IV36" t="e">
        <f>AND(#REF!,"AAAAAE//rP8=")</f>
        <v>#REF!</v>
      </c>
    </row>
    <row r="37" spans="1:256" x14ac:dyDescent="0.2">
      <c r="A37" t="e">
        <f>AND(#REF!,"AAAAAF/7WAA=")</f>
        <v>#REF!</v>
      </c>
      <c r="B37" t="e">
        <f>AND(#REF!,"AAAAAF/7WAE=")</f>
        <v>#REF!</v>
      </c>
      <c r="C37" t="e">
        <f>AND(#REF!,"AAAAAF/7WAI=")</f>
        <v>#REF!</v>
      </c>
      <c r="D37" t="e">
        <f>AND(#REF!,"AAAAAF/7WAM=")</f>
        <v>#REF!</v>
      </c>
      <c r="E37" t="e">
        <f>AND(#REF!,"AAAAAF/7WAQ=")</f>
        <v>#REF!</v>
      </c>
      <c r="F37" t="e">
        <f>IF(#REF!,"AAAAAF/7WAU=",0)</f>
        <v>#REF!</v>
      </c>
      <c r="G37" t="e">
        <f>AND(#REF!,"AAAAAF/7WAY=")</f>
        <v>#REF!</v>
      </c>
      <c r="H37" t="e">
        <f>AND(#REF!,"AAAAAF/7WAc=")</f>
        <v>#REF!</v>
      </c>
      <c r="I37" t="e">
        <f>AND(#REF!,"AAAAAF/7WAg=")</f>
        <v>#REF!</v>
      </c>
      <c r="J37" t="e">
        <f>AND(#REF!,"AAAAAF/7WAk=")</f>
        <v>#REF!</v>
      </c>
      <c r="K37" t="e">
        <f>AND(#REF!,"AAAAAF/7WAo=")</f>
        <v>#REF!</v>
      </c>
      <c r="L37" t="e">
        <f>AND(#REF!,"AAAAAF/7WAs=")</f>
        <v>#REF!</v>
      </c>
      <c r="M37" t="e">
        <f>AND(#REF!,"AAAAAF/7WAw=")</f>
        <v>#REF!</v>
      </c>
      <c r="N37" t="e">
        <f>AND(#REF!,"AAAAAF/7WA0=")</f>
        <v>#REF!</v>
      </c>
      <c r="O37" t="e">
        <f>AND(#REF!,"AAAAAF/7WA4=")</f>
        <v>#REF!</v>
      </c>
      <c r="P37" t="e">
        <f>AND(#REF!,"AAAAAF/7WA8=")</f>
        <v>#REF!</v>
      </c>
      <c r="Q37" t="e">
        <f>AND(#REF!,"AAAAAF/7WBA=")</f>
        <v>#REF!</v>
      </c>
      <c r="R37" t="e">
        <f>AND(#REF!,"AAAAAF/7WBE=")</f>
        <v>#REF!</v>
      </c>
      <c r="S37" t="e">
        <f>AND(#REF!,"AAAAAF/7WBI=")</f>
        <v>#REF!</v>
      </c>
      <c r="T37" t="e">
        <f>IF(#REF!,"AAAAAF/7WBM=",0)</f>
        <v>#REF!</v>
      </c>
      <c r="U37" t="e">
        <f>AND(#REF!,"AAAAAF/7WBQ=")</f>
        <v>#REF!</v>
      </c>
      <c r="V37" t="e">
        <f>AND(#REF!,"AAAAAF/7WBU=")</f>
        <v>#REF!</v>
      </c>
      <c r="W37" t="e">
        <f>AND(#REF!,"AAAAAF/7WBY=")</f>
        <v>#REF!</v>
      </c>
      <c r="X37" t="e">
        <f>AND(#REF!,"AAAAAF/7WBc=")</f>
        <v>#REF!</v>
      </c>
      <c r="Y37" t="e">
        <f>AND(#REF!,"AAAAAF/7WBg=")</f>
        <v>#REF!</v>
      </c>
      <c r="Z37" t="e">
        <f>AND(#REF!,"AAAAAF/7WBk=")</f>
        <v>#REF!</v>
      </c>
      <c r="AA37" t="e">
        <f>AND(#REF!,"AAAAAF/7WBo=")</f>
        <v>#REF!</v>
      </c>
      <c r="AB37" t="e">
        <f>AND(#REF!,"AAAAAF/7WBs=")</f>
        <v>#REF!</v>
      </c>
      <c r="AC37" t="e">
        <f>AND(#REF!,"AAAAAF/7WBw=")</f>
        <v>#REF!</v>
      </c>
      <c r="AD37" t="e">
        <f>AND(#REF!,"AAAAAF/7WB0=")</f>
        <v>#REF!</v>
      </c>
      <c r="AE37" t="e">
        <f>AND(#REF!,"AAAAAF/7WB4=")</f>
        <v>#REF!</v>
      </c>
      <c r="AF37" t="e">
        <f>AND(#REF!,"AAAAAF/7WB8=")</f>
        <v>#REF!</v>
      </c>
      <c r="AG37" t="e">
        <f>AND(#REF!,"AAAAAF/7WCA=")</f>
        <v>#REF!</v>
      </c>
      <c r="AH37" t="e">
        <f>IF(#REF!,"AAAAAF/7WCE=",0)</f>
        <v>#REF!</v>
      </c>
      <c r="AI37" t="e">
        <f>AND(#REF!,"AAAAAF/7WCI=")</f>
        <v>#REF!</v>
      </c>
      <c r="AJ37" t="e">
        <f>AND(#REF!,"AAAAAF/7WCM=")</f>
        <v>#REF!</v>
      </c>
      <c r="AK37" t="e">
        <f>AND(#REF!,"AAAAAF/7WCQ=")</f>
        <v>#REF!</v>
      </c>
      <c r="AL37" t="e">
        <f>AND(#REF!,"AAAAAF/7WCU=")</f>
        <v>#REF!</v>
      </c>
      <c r="AM37" t="e">
        <f>AND(#REF!,"AAAAAF/7WCY=")</f>
        <v>#REF!</v>
      </c>
      <c r="AN37" t="e">
        <f>AND(#REF!,"AAAAAF/7WCc=")</f>
        <v>#REF!</v>
      </c>
      <c r="AO37" t="e">
        <f>AND(#REF!,"AAAAAF/7WCg=")</f>
        <v>#REF!</v>
      </c>
      <c r="AP37" t="e">
        <f>AND(#REF!,"AAAAAF/7WCk=")</f>
        <v>#REF!</v>
      </c>
      <c r="AQ37" t="e">
        <f>IF(#REF!,"AAAAAF/7WCo=",0)</f>
        <v>#REF!</v>
      </c>
      <c r="AR37" t="e">
        <f>AND(#REF!,"AAAAAF/7WCs=")</f>
        <v>#REF!</v>
      </c>
      <c r="AS37" t="e">
        <f>AND(#REF!,"AAAAAF/7WCw=")</f>
        <v>#REF!</v>
      </c>
      <c r="AT37" t="e">
        <f>AND(#REF!,"AAAAAF/7WC0=")</f>
        <v>#REF!</v>
      </c>
      <c r="AU37" t="e">
        <f>AND(#REF!,"AAAAAF/7WC4=")</f>
        <v>#REF!</v>
      </c>
      <c r="AV37" t="e">
        <f>AND(#REF!,"AAAAAF/7WC8=")</f>
        <v>#REF!</v>
      </c>
      <c r="AW37" t="e">
        <f>AND(#REF!,"AAAAAF/7WDA=")</f>
        <v>#REF!</v>
      </c>
      <c r="AX37" t="e">
        <f>AND(#REF!,"AAAAAF/7WDE=")</f>
        <v>#REF!</v>
      </c>
      <c r="AY37" t="e">
        <f>AND(#REF!,"AAAAAF/7WDI=")</f>
        <v>#REF!</v>
      </c>
      <c r="AZ37" t="e">
        <f>IF(#REF!,"AAAAAF/7WDM=",0)</f>
        <v>#REF!</v>
      </c>
      <c r="BA37" t="e">
        <f>AND(#REF!,"AAAAAF/7WDQ=")</f>
        <v>#REF!</v>
      </c>
      <c r="BB37" t="e">
        <f>AND(#REF!,"AAAAAF/7WDU=")</f>
        <v>#REF!</v>
      </c>
      <c r="BC37" t="e">
        <f>AND(#REF!,"AAAAAF/7WDY=")</f>
        <v>#REF!</v>
      </c>
      <c r="BD37" t="e">
        <f>AND(#REF!,"AAAAAF/7WDc=")</f>
        <v>#REF!</v>
      </c>
      <c r="BE37" t="e">
        <f>AND(#REF!,"AAAAAF/7WDg=")</f>
        <v>#REF!</v>
      </c>
      <c r="BF37" t="e">
        <f>AND(#REF!,"AAAAAF/7WDk=")</f>
        <v>#REF!</v>
      </c>
      <c r="BG37" t="e">
        <f>AND(#REF!,"AAAAAF/7WDo=")</f>
        <v>#REF!</v>
      </c>
      <c r="BH37" t="e">
        <f>AND(#REF!,"AAAAAF/7WDs=")</f>
        <v>#REF!</v>
      </c>
      <c r="BI37" t="e">
        <f>IF(#REF!,"AAAAAF/7WDw=",0)</f>
        <v>#REF!</v>
      </c>
      <c r="BJ37" t="e">
        <f>AND(#REF!,"AAAAAF/7WD0=")</f>
        <v>#REF!</v>
      </c>
      <c r="BK37" t="e">
        <f>AND(#REF!,"AAAAAF/7WD4=")</f>
        <v>#REF!</v>
      </c>
      <c r="BL37" t="e">
        <f>AND(#REF!,"AAAAAF/7WD8=")</f>
        <v>#REF!</v>
      </c>
      <c r="BM37" t="e">
        <f>AND(#REF!,"AAAAAF/7WEA=")</f>
        <v>#REF!</v>
      </c>
      <c r="BN37" t="e">
        <f>AND(#REF!,"AAAAAF/7WEE=")</f>
        <v>#REF!</v>
      </c>
      <c r="BO37" t="e">
        <f>AND(#REF!,"AAAAAF/7WEI=")</f>
        <v>#REF!</v>
      </c>
      <c r="BP37" t="e">
        <f>AND(#REF!,"AAAAAF/7WEM=")</f>
        <v>#REF!</v>
      </c>
      <c r="BQ37" t="e">
        <f>AND(#REF!,"AAAAAF/7WEQ=")</f>
        <v>#REF!</v>
      </c>
      <c r="BR37" t="e">
        <f>IF(#REF!,"AAAAAF/7WEU=",0)</f>
        <v>#REF!</v>
      </c>
      <c r="BS37" t="e">
        <f>AND(#REF!,"AAAAAF/7WEY=")</f>
        <v>#REF!</v>
      </c>
      <c r="BT37" t="e">
        <f>AND(#REF!,"AAAAAF/7WEc=")</f>
        <v>#REF!</v>
      </c>
      <c r="BU37" t="e">
        <f>AND(#REF!,"AAAAAF/7WEg=")</f>
        <v>#REF!</v>
      </c>
      <c r="BV37" t="e">
        <f>AND(#REF!,"AAAAAF/7WEk=")</f>
        <v>#REF!</v>
      </c>
      <c r="BW37" t="e">
        <f>AND(#REF!,"AAAAAF/7WEo=")</f>
        <v>#REF!</v>
      </c>
      <c r="BX37" t="e">
        <f>AND(#REF!,"AAAAAF/7WEs=")</f>
        <v>#REF!</v>
      </c>
      <c r="BY37" t="e">
        <f>AND(#REF!,"AAAAAF/7WEw=")</f>
        <v>#REF!</v>
      </c>
      <c r="BZ37" t="e">
        <f>AND(#REF!,"AAAAAF/7WE0=")</f>
        <v>#REF!</v>
      </c>
      <c r="CA37" t="e">
        <f>IF(#REF!,"AAAAAF/7WE4=",0)</f>
        <v>#REF!</v>
      </c>
      <c r="CB37" t="e">
        <f>AND(#REF!,"AAAAAF/7WE8=")</f>
        <v>#REF!</v>
      </c>
      <c r="CC37" t="e">
        <f>AND(#REF!,"AAAAAF/7WFA=")</f>
        <v>#REF!</v>
      </c>
      <c r="CD37" t="e">
        <f>AND(#REF!,"AAAAAF/7WFE=")</f>
        <v>#REF!</v>
      </c>
      <c r="CE37" t="e">
        <f>AND(#REF!,"AAAAAF/7WFI=")</f>
        <v>#REF!</v>
      </c>
      <c r="CF37" t="e">
        <f>AND(#REF!,"AAAAAF/7WFM=")</f>
        <v>#REF!</v>
      </c>
      <c r="CG37" t="e">
        <f>AND(#REF!,"AAAAAF/7WFQ=")</f>
        <v>#REF!</v>
      </c>
      <c r="CH37" t="e">
        <f>AND(#REF!,"AAAAAF/7WFU=")</f>
        <v>#REF!</v>
      </c>
      <c r="CI37" t="e">
        <f>AND(#REF!,"AAAAAF/7WFY=")</f>
        <v>#REF!</v>
      </c>
      <c r="CJ37" t="e">
        <f>IF(#REF!,"AAAAAF/7WFc=",0)</f>
        <v>#REF!</v>
      </c>
      <c r="CK37" t="e">
        <f>AND(#REF!,"AAAAAF/7WFg=")</f>
        <v>#REF!</v>
      </c>
      <c r="CL37" t="e">
        <f>AND(#REF!,"AAAAAF/7WFk=")</f>
        <v>#REF!</v>
      </c>
      <c r="CM37" t="e">
        <f>AND(#REF!,"AAAAAF/7WFo=")</f>
        <v>#REF!</v>
      </c>
      <c r="CN37" t="e">
        <f>AND(#REF!,"AAAAAF/7WFs=")</f>
        <v>#REF!</v>
      </c>
      <c r="CO37" t="e">
        <f>AND(#REF!,"AAAAAF/7WFw=")</f>
        <v>#REF!</v>
      </c>
      <c r="CP37" t="e">
        <f>AND(#REF!,"AAAAAF/7WF0=")</f>
        <v>#REF!</v>
      </c>
      <c r="CQ37" t="e">
        <f>AND(#REF!,"AAAAAF/7WF4=")</f>
        <v>#REF!</v>
      </c>
      <c r="CR37" t="e">
        <f>AND(#REF!,"AAAAAF/7WF8=")</f>
        <v>#REF!</v>
      </c>
      <c r="CS37" t="e">
        <f>IF(#REF!,"AAAAAF/7WGA=",0)</f>
        <v>#REF!</v>
      </c>
      <c r="CT37" t="e">
        <f>AND(#REF!,"AAAAAF/7WGE=")</f>
        <v>#REF!</v>
      </c>
      <c r="CU37" t="e">
        <f>AND(#REF!,"AAAAAF/7WGI=")</f>
        <v>#REF!</v>
      </c>
      <c r="CV37" t="e">
        <f>AND(#REF!,"AAAAAF/7WGM=")</f>
        <v>#REF!</v>
      </c>
      <c r="CW37" t="e">
        <f>AND(#REF!,"AAAAAF/7WGQ=")</f>
        <v>#REF!</v>
      </c>
      <c r="CX37" t="e">
        <f>AND(#REF!,"AAAAAF/7WGU=")</f>
        <v>#REF!</v>
      </c>
      <c r="CY37" t="e">
        <f>AND(#REF!,"AAAAAF/7WGY=")</f>
        <v>#REF!</v>
      </c>
      <c r="CZ37" t="e">
        <f>AND(#REF!,"AAAAAF/7WGc=")</f>
        <v>#REF!</v>
      </c>
      <c r="DA37" t="e">
        <f>AND(#REF!,"AAAAAF/7WGg=")</f>
        <v>#REF!</v>
      </c>
      <c r="DB37" t="e">
        <f>IF(#REF!,"AAAAAF/7WGk=",0)</f>
        <v>#REF!</v>
      </c>
      <c r="DC37" t="e">
        <f>AND(#REF!,"AAAAAF/7WGo=")</f>
        <v>#REF!</v>
      </c>
      <c r="DD37" t="e">
        <f>AND(#REF!,"AAAAAF/7WGs=")</f>
        <v>#REF!</v>
      </c>
      <c r="DE37" t="e">
        <f>AND(#REF!,"AAAAAF/7WGw=")</f>
        <v>#REF!</v>
      </c>
      <c r="DF37" t="e">
        <f>AND(#REF!,"AAAAAF/7WG0=")</f>
        <v>#REF!</v>
      </c>
      <c r="DG37" t="e">
        <f>AND(#REF!,"AAAAAF/7WG4=")</f>
        <v>#REF!</v>
      </c>
      <c r="DH37" t="e">
        <f>AND(#REF!,"AAAAAF/7WG8=")</f>
        <v>#REF!</v>
      </c>
      <c r="DI37" t="e">
        <f>AND(#REF!,"AAAAAF/7WHA=")</f>
        <v>#REF!</v>
      </c>
      <c r="DJ37" t="e">
        <f>AND(#REF!,"AAAAAF/7WHE=")</f>
        <v>#REF!</v>
      </c>
      <c r="DK37" t="e">
        <f>IF(#REF!,"AAAAAF/7WHI=",0)</f>
        <v>#REF!</v>
      </c>
      <c r="DL37" t="e">
        <f>AND(#REF!,"AAAAAF/7WHM=")</f>
        <v>#REF!</v>
      </c>
      <c r="DM37" t="e">
        <f>AND(#REF!,"AAAAAF/7WHQ=")</f>
        <v>#REF!</v>
      </c>
      <c r="DN37" t="e">
        <f>AND(#REF!,"AAAAAF/7WHU=")</f>
        <v>#REF!</v>
      </c>
      <c r="DO37" t="e">
        <f>AND(#REF!,"AAAAAF/7WHY=")</f>
        <v>#REF!</v>
      </c>
      <c r="DP37" t="e">
        <f>AND(#REF!,"AAAAAF/7WHc=")</f>
        <v>#REF!</v>
      </c>
      <c r="DQ37" t="e">
        <f>AND(#REF!,"AAAAAF/7WHg=")</f>
        <v>#REF!</v>
      </c>
      <c r="DR37" t="e">
        <f>AND(#REF!,"AAAAAF/7WHk=")</f>
        <v>#REF!</v>
      </c>
      <c r="DS37" t="e">
        <f>AND(#REF!,"AAAAAF/7WHo=")</f>
        <v>#REF!</v>
      </c>
      <c r="DT37" t="e">
        <f>IF(#REF!,"AAAAAF/7WHs=",0)</f>
        <v>#REF!</v>
      </c>
      <c r="DU37" t="e">
        <f>AND(#REF!,"AAAAAF/7WHw=")</f>
        <v>#REF!</v>
      </c>
      <c r="DV37" t="e">
        <f>AND(#REF!,"AAAAAF/7WH0=")</f>
        <v>#REF!</v>
      </c>
      <c r="DW37" t="e">
        <f>AND(#REF!,"AAAAAF/7WH4=")</f>
        <v>#REF!</v>
      </c>
      <c r="DX37" t="e">
        <f>AND(#REF!,"AAAAAF/7WH8=")</f>
        <v>#REF!</v>
      </c>
      <c r="DY37" t="e">
        <f>AND(#REF!,"AAAAAF/7WIA=")</f>
        <v>#REF!</v>
      </c>
      <c r="DZ37" t="e">
        <f>AND(#REF!,"AAAAAF/7WIE=")</f>
        <v>#REF!</v>
      </c>
      <c r="EA37" t="e">
        <f>AND(#REF!,"AAAAAF/7WII=")</f>
        <v>#REF!</v>
      </c>
      <c r="EB37" t="e">
        <f>AND(#REF!,"AAAAAF/7WIM=")</f>
        <v>#REF!</v>
      </c>
      <c r="EC37" t="e">
        <f>IF(#REF!,"AAAAAF/7WIQ=",0)</f>
        <v>#REF!</v>
      </c>
      <c r="ED37" t="e">
        <f>AND(#REF!,"AAAAAF/7WIU=")</f>
        <v>#REF!</v>
      </c>
      <c r="EE37" t="e">
        <f>AND(#REF!,"AAAAAF/7WIY=")</f>
        <v>#REF!</v>
      </c>
      <c r="EF37" t="e">
        <f>AND(#REF!,"AAAAAF/7WIc=")</f>
        <v>#REF!</v>
      </c>
      <c r="EG37" t="e">
        <f>AND(#REF!,"AAAAAF/7WIg=")</f>
        <v>#REF!</v>
      </c>
      <c r="EH37" t="e">
        <f>AND(#REF!,"AAAAAF/7WIk=")</f>
        <v>#REF!</v>
      </c>
      <c r="EI37" t="e">
        <f>AND(#REF!,"AAAAAF/7WIo=")</f>
        <v>#REF!</v>
      </c>
      <c r="EJ37" t="e">
        <f>AND(#REF!,"AAAAAF/7WIs=")</f>
        <v>#REF!</v>
      </c>
      <c r="EK37" t="e">
        <f>AND(#REF!,"AAAAAF/7WIw=")</f>
        <v>#REF!</v>
      </c>
      <c r="EL37" t="e">
        <f>IF(#REF!,"AAAAAF/7WI0=",0)</f>
        <v>#REF!</v>
      </c>
      <c r="EM37" t="e">
        <f>AND(#REF!,"AAAAAF/7WI4=")</f>
        <v>#REF!</v>
      </c>
      <c r="EN37" t="e">
        <f>AND(#REF!,"AAAAAF/7WI8=")</f>
        <v>#REF!</v>
      </c>
      <c r="EO37" t="e">
        <f>AND(#REF!,"AAAAAF/7WJA=")</f>
        <v>#REF!</v>
      </c>
      <c r="EP37" t="e">
        <f>AND(#REF!,"AAAAAF/7WJE=")</f>
        <v>#REF!</v>
      </c>
      <c r="EQ37" t="e">
        <f>AND(#REF!,"AAAAAF/7WJI=")</f>
        <v>#REF!</v>
      </c>
      <c r="ER37" t="e">
        <f>AND(#REF!,"AAAAAF/7WJM=")</f>
        <v>#REF!</v>
      </c>
      <c r="ES37" t="e">
        <f>AND(#REF!,"AAAAAF/7WJQ=")</f>
        <v>#REF!</v>
      </c>
      <c r="ET37" t="e">
        <f>AND(#REF!,"AAAAAF/7WJU=")</f>
        <v>#REF!</v>
      </c>
      <c r="EU37" t="e">
        <f>IF(#REF!,"AAAAAF/7WJY=",0)</f>
        <v>#REF!</v>
      </c>
      <c r="EV37" t="e">
        <f>AND(#REF!,"AAAAAF/7WJc=")</f>
        <v>#REF!</v>
      </c>
      <c r="EW37" t="e">
        <f>AND(#REF!,"AAAAAF/7WJg=")</f>
        <v>#REF!</v>
      </c>
      <c r="EX37" t="e">
        <f>AND(#REF!,"AAAAAF/7WJk=")</f>
        <v>#REF!</v>
      </c>
      <c r="EY37" t="e">
        <f>AND(#REF!,"AAAAAF/7WJo=")</f>
        <v>#REF!</v>
      </c>
      <c r="EZ37" t="e">
        <f>AND(#REF!,"AAAAAF/7WJs=")</f>
        <v>#REF!</v>
      </c>
      <c r="FA37" t="e">
        <f>AND(#REF!,"AAAAAF/7WJw=")</f>
        <v>#REF!</v>
      </c>
      <c r="FB37" t="e">
        <f>AND(#REF!,"AAAAAF/7WJ0=")</f>
        <v>#REF!</v>
      </c>
      <c r="FC37" t="e">
        <f>AND(#REF!,"AAAAAF/7WJ4=")</f>
        <v>#REF!</v>
      </c>
      <c r="FD37" t="e">
        <f>IF(#REF!,"AAAAAF/7WJ8=",0)</f>
        <v>#REF!</v>
      </c>
      <c r="FE37" t="e">
        <f>AND(#REF!,"AAAAAF/7WKA=")</f>
        <v>#REF!</v>
      </c>
      <c r="FF37" t="e">
        <f>AND(#REF!,"AAAAAF/7WKE=")</f>
        <v>#REF!</v>
      </c>
      <c r="FG37" t="e">
        <f>AND(#REF!,"AAAAAF/7WKI=")</f>
        <v>#REF!</v>
      </c>
      <c r="FH37" t="e">
        <f>AND(#REF!,"AAAAAF/7WKM=")</f>
        <v>#REF!</v>
      </c>
      <c r="FI37" t="e">
        <f>AND(#REF!,"AAAAAF/7WKQ=")</f>
        <v>#REF!</v>
      </c>
      <c r="FJ37" t="e">
        <f>AND(#REF!,"AAAAAF/7WKU=")</f>
        <v>#REF!</v>
      </c>
      <c r="FK37" t="e">
        <f>AND(#REF!,"AAAAAF/7WKY=")</f>
        <v>#REF!</v>
      </c>
      <c r="FL37" t="e">
        <f>AND(#REF!,"AAAAAF/7WKc=")</f>
        <v>#REF!</v>
      </c>
      <c r="FM37" t="e">
        <f>IF(#REF!,"AAAAAF/7WKg=",0)</f>
        <v>#REF!</v>
      </c>
      <c r="FN37" t="e">
        <f>AND(#REF!,"AAAAAF/7WKk=")</f>
        <v>#REF!</v>
      </c>
      <c r="FO37" t="e">
        <f>AND(#REF!,"AAAAAF/7WKo=")</f>
        <v>#REF!</v>
      </c>
      <c r="FP37" t="e">
        <f>AND(#REF!,"AAAAAF/7WKs=")</f>
        <v>#REF!</v>
      </c>
      <c r="FQ37" t="e">
        <f>AND(#REF!,"AAAAAF/7WKw=")</f>
        <v>#REF!</v>
      </c>
      <c r="FR37" t="e">
        <f>AND(#REF!,"AAAAAF/7WK0=")</f>
        <v>#REF!</v>
      </c>
      <c r="FS37" t="e">
        <f>AND(#REF!,"AAAAAF/7WK4=")</f>
        <v>#REF!</v>
      </c>
      <c r="FT37" t="e">
        <f>AND(#REF!,"AAAAAF/7WK8=")</f>
        <v>#REF!</v>
      </c>
      <c r="FU37" t="e">
        <f>AND(#REF!,"AAAAAF/7WLA=")</f>
        <v>#REF!</v>
      </c>
      <c r="FV37" t="e">
        <f>IF(#REF!,"AAAAAF/7WLE=",0)</f>
        <v>#REF!</v>
      </c>
      <c r="FW37" t="e">
        <f>AND(#REF!,"AAAAAF/7WLI=")</f>
        <v>#REF!</v>
      </c>
      <c r="FX37" t="e">
        <f>AND(#REF!,"AAAAAF/7WLM=")</f>
        <v>#REF!</v>
      </c>
      <c r="FY37" t="e">
        <f>AND(#REF!,"AAAAAF/7WLQ=")</f>
        <v>#REF!</v>
      </c>
      <c r="FZ37" t="e">
        <f>AND(#REF!,"AAAAAF/7WLU=")</f>
        <v>#REF!</v>
      </c>
      <c r="GA37" t="e">
        <f>AND(#REF!,"AAAAAF/7WLY=")</f>
        <v>#REF!</v>
      </c>
      <c r="GB37" t="e">
        <f>AND(#REF!,"AAAAAF/7WLc=")</f>
        <v>#REF!</v>
      </c>
      <c r="GC37" t="e">
        <f>AND(#REF!,"AAAAAF/7WLg=")</f>
        <v>#REF!</v>
      </c>
      <c r="GD37" t="e">
        <f>AND(#REF!,"AAAAAF/7WLk=")</f>
        <v>#REF!</v>
      </c>
      <c r="GE37" t="e">
        <f>IF(#REF!,"AAAAAF/7WLo=",0)</f>
        <v>#REF!</v>
      </c>
      <c r="GF37" t="e">
        <f>AND(#REF!,"AAAAAF/7WLs=")</f>
        <v>#REF!</v>
      </c>
      <c r="GG37" t="e">
        <f>AND(#REF!,"AAAAAF/7WLw=")</f>
        <v>#REF!</v>
      </c>
      <c r="GH37" t="e">
        <f>AND(#REF!,"AAAAAF/7WL0=")</f>
        <v>#REF!</v>
      </c>
      <c r="GI37" t="e">
        <f>AND(#REF!,"AAAAAF/7WL4=")</f>
        <v>#REF!</v>
      </c>
      <c r="GJ37" t="e">
        <f>AND(#REF!,"AAAAAF/7WL8=")</f>
        <v>#REF!</v>
      </c>
      <c r="GK37" t="e">
        <f>AND(#REF!,"AAAAAF/7WMA=")</f>
        <v>#REF!</v>
      </c>
      <c r="GL37" t="e">
        <f>AND(#REF!,"AAAAAF/7WME=")</f>
        <v>#REF!</v>
      </c>
      <c r="GM37" t="e">
        <f>AND(#REF!,"AAAAAF/7WMI=")</f>
        <v>#REF!</v>
      </c>
      <c r="GN37" t="e">
        <f>IF(#REF!,"AAAAAF/7WMM=",0)</f>
        <v>#REF!</v>
      </c>
      <c r="GO37" t="e">
        <f>AND(#REF!,"AAAAAF/7WMQ=")</f>
        <v>#REF!</v>
      </c>
      <c r="GP37" t="e">
        <f>AND(#REF!,"AAAAAF/7WMU=")</f>
        <v>#REF!</v>
      </c>
      <c r="GQ37" t="e">
        <f>AND(#REF!,"AAAAAF/7WMY=")</f>
        <v>#REF!</v>
      </c>
      <c r="GR37" t="e">
        <f>AND(#REF!,"AAAAAF/7WMc=")</f>
        <v>#REF!</v>
      </c>
      <c r="GS37" t="e">
        <f>AND(#REF!,"AAAAAF/7WMg=")</f>
        <v>#REF!</v>
      </c>
      <c r="GT37" t="e">
        <f>AND(#REF!,"AAAAAF/7WMk=")</f>
        <v>#REF!</v>
      </c>
      <c r="GU37" t="e">
        <f>AND(#REF!,"AAAAAF/7WMo=")</f>
        <v>#REF!</v>
      </c>
      <c r="GV37" t="e">
        <f>AND(#REF!,"AAAAAF/7WMs=")</f>
        <v>#REF!</v>
      </c>
      <c r="GW37" t="e">
        <f>IF(#REF!,"AAAAAF/7WMw=",0)</f>
        <v>#REF!</v>
      </c>
      <c r="GX37" t="e">
        <f>AND(#REF!,"AAAAAF/7WM0=")</f>
        <v>#REF!</v>
      </c>
      <c r="GY37" t="e">
        <f>AND(#REF!,"AAAAAF/7WM4=")</f>
        <v>#REF!</v>
      </c>
      <c r="GZ37" t="e">
        <f>AND(#REF!,"AAAAAF/7WM8=")</f>
        <v>#REF!</v>
      </c>
      <c r="HA37" t="e">
        <f>AND(#REF!,"AAAAAF/7WNA=")</f>
        <v>#REF!</v>
      </c>
      <c r="HB37" t="e">
        <f>AND(#REF!,"AAAAAF/7WNE=")</f>
        <v>#REF!</v>
      </c>
      <c r="HC37" t="e">
        <f>AND(#REF!,"AAAAAF/7WNI=")</f>
        <v>#REF!</v>
      </c>
      <c r="HD37" t="e">
        <f>AND(#REF!,"AAAAAF/7WNM=")</f>
        <v>#REF!</v>
      </c>
      <c r="HE37" t="e">
        <f>AND(#REF!,"AAAAAF/7WNQ=")</f>
        <v>#REF!</v>
      </c>
      <c r="HF37" t="e">
        <f>IF(#REF!,"AAAAAF/7WNU=",0)</f>
        <v>#REF!</v>
      </c>
      <c r="HG37" t="e">
        <f>AND(#REF!,"AAAAAF/7WNY=")</f>
        <v>#REF!</v>
      </c>
      <c r="HH37" t="e">
        <f>AND(#REF!,"AAAAAF/7WNc=")</f>
        <v>#REF!</v>
      </c>
      <c r="HI37" t="e">
        <f>AND(#REF!,"AAAAAF/7WNg=")</f>
        <v>#REF!</v>
      </c>
      <c r="HJ37" t="e">
        <f>AND(#REF!,"AAAAAF/7WNk=")</f>
        <v>#REF!</v>
      </c>
      <c r="HK37" t="e">
        <f>AND(#REF!,"AAAAAF/7WNo=")</f>
        <v>#REF!</v>
      </c>
      <c r="HL37" t="e">
        <f>AND(#REF!,"AAAAAF/7WNs=")</f>
        <v>#REF!</v>
      </c>
      <c r="HM37" t="e">
        <f>AND(#REF!,"AAAAAF/7WNw=")</f>
        <v>#REF!</v>
      </c>
      <c r="HN37" t="e">
        <f>AND(#REF!,"AAAAAF/7WN0=")</f>
        <v>#REF!</v>
      </c>
      <c r="HO37" t="e">
        <f>IF(#REF!,"AAAAAF/7WN4=",0)</f>
        <v>#REF!</v>
      </c>
      <c r="HP37" t="e">
        <f>AND(#REF!,"AAAAAF/7WN8=")</f>
        <v>#REF!</v>
      </c>
      <c r="HQ37" t="e">
        <f>AND(#REF!,"AAAAAF/7WOA=")</f>
        <v>#REF!</v>
      </c>
      <c r="HR37" t="e">
        <f>AND(#REF!,"AAAAAF/7WOE=")</f>
        <v>#REF!</v>
      </c>
      <c r="HS37" t="e">
        <f>AND(#REF!,"AAAAAF/7WOI=")</f>
        <v>#REF!</v>
      </c>
      <c r="HT37" t="e">
        <f>AND(#REF!,"AAAAAF/7WOM=")</f>
        <v>#REF!</v>
      </c>
      <c r="HU37" t="e">
        <f>AND(#REF!,"AAAAAF/7WOQ=")</f>
        <v>#REF!</v>
      </c>
      <c r="HV37" t="e">
        <f>AND(#REF!,"AAAAAF/7WOU=")</f>
        <v>#REF!</v>
      </c>
      <c r="HW37" t="e">
        <f>AND(#REF!,"AAAAAF/7WOY=")</f>
        <v>#REF!</v>
      </c>
      <c r="HX37" t="e">
        <f>IF(#REF!,"AAAAAF/7WOc=",0)</f>
        <v>#REF!</v>
      </c>
      <c r="HY37" t="e">
        <f>AND(#REF!,"AAAAAF/7WOg=")</f>
        <v>#REF!</v>
      </c>
      <c r="HZ37" t="e">
        <f>AND(#REF!,"AAAAAF/7WOk=")</f>
        <v>#REF!</v>
      </c>
      <c r="IA37" t="e">
        <f>AND(#REF!,"AAAAAF/7WOo=")</f>
        <v>#REF!</v>
      </c>
      <c r="IB37" t="e">
        <f>AND(#REF!,"AAAAAF/7WOs=")</f>
        <v>#REF!</v>
      </c>
      <c r="IC37" t="e">
        <f>AND(#REF!,"AAAAAF/7WOw=")</f>
        <v>#REF!</v>
      </c>
      <c r="ID37" t="e">
        <f>AND(#REF!,"AAAAAF/7WO0=")</f>
        <v>#REF!</v>
      </c>
      <c r="IE37" t="e">
        <f>AND(#REF!,"AAAAAF/7WO4=")</f>
        <v>#REF!</v>
      </c>
      <c r="IF37" t="e">
        <f>AND(#REF!,"AAAAAF/7WO8=")</f>
        <v>#REF!</v>
      </c>
      <c r="IG37" t="e">
        <f>IF(#REF!,"AAAAAF/7WPA=",0)</f>
        <v>#REF!</v>
      </c>
      <c r="IH37" t="e">
        <f>AND(#REF!,"AAAAAF/7WPE=")</f>
        <v>#REF!</v>
      </c>
      <c r="II37" t="e">
        <f>AND(#REF!,"AAAAAF/7WPI=")</f>
        <v>#REF!</v>
      </c>
      <c r="IJ37" t="e">
        <f>AND(#REF!,"AAAAAF/7WPM=")</f>
        <v>#REF!</v>
      </c>
      <c r="IK37" t="e">
        <f>AND(#REF!,"AAAAAF/7WPQ=")</f>
        <v>#REF!</v>
      </c>
      <c r="IL37" t="e">
        <f>AND(#REF!,"AAAAAF/7WPU=")</f>
        <v>#REF!</v>
      </c>
      <c r="IM37" t="e">
        <f>AND(#REF!,"AAAAAF/7WPY=")</f>
        <v>#REF!</v>
      </c>
      <c r="IN37" t="e">
        <f>AND(#REF!,"AAAAAF/7WPc=")</f>
        <v>#REF!</v>
      </c>
      <c r="IO37" t="e">
        <f>AND(#REF!,"AAAAAF/7WPg=")</f>
        <v>#REF!</v>
      </c>
      <c r="IP37" t="e">
        <f>IF(#REF!,"AAAAAF/7WPk=",0)</f>
        <v>#REF!</v>
      </c>
      <c r="IQ37" t="e">
        <f>AND(#REF!,"AAAAAF/7WPo=")</f>
        <v>#REF!</v>
      </c>
      <c r="IR37" t="e">
        <f>AND(#REF!,"AAAAAF/7WPs=")</f>
        <v>#REF!</v>
      </c>
      <c r="IS37" t="e">
        <f>AND(#REF!,"AAAAAF/7WPw=")</f>
        <v>#REF!</v>
      </c>
      <c r="IT37" t="e">
        <f>AND(#REF!,"AAAAAF/7WP0=")</f>
        <v>#REF!</v>
      </c>
      <c r="IU37" t="e">
        <f>AND(#REF!,"AAAAAF/7WP4=")</f>
        <v>#REF!</v>
      </c>
      <c r="IV37" t="e">
        <f>AND(#REF!,"AAAAAF/7WP8=")</f>
        <v>#REF!</v>
      </c>
    </row>
    <row r="38" spans="1:256" x14ac:dyDescent="0.2">
      <c r="A38" t="e">
        <f>AND(#REF!,"AAAAAH/99wA=")</f>
        <v>#REF!</v>
      </c>
      <c r="B38" t="e">
        <f>AND(#REF!,"AAAAAH/99wE=")</f>
        <v>#REF!</v>
      </c>
      <c r="C38" t="e">
        <f>IF(#REF!,"AAAAAH/99wI=",0)</f>
        <v>#REF!</v>
      </c>
      <c r="D38" t="e">
        <f>AND(#REF!,"AAAAAH/99wM=")</f>
        <v>#REF!</v>
      </c>
      <c r="E38" t="e">
        <f>AND(#REF!,"AAAAAH/99wQ=")</f>
        <v>#REF!</v>
      </c>
      <c r="F38" t="e">
        <f>AND(#REF!,"AAAAAH/99wU=")</f>
        <v>#REF!</v>
      </c>
      <c r="G38" t="e">
        <f>AND(#REF!,"AAAAAH/99wY=")</f>
        <v>#REF!</v>
      </c>
      <c r="H38" t="e">
        <f>AND(#REF!,"AAAAAH/99wc=")</f>
        <v>#REF!</v>
      </c>
      <c r="I38" t="e">
        <f>AND(#REF!,"AAAAAH/99wg=")</f>
        <v>#REF!</v>
      </c>
      <c r="J38" t="e">
        <f>AND(#REF!,"AAAAAH/99wk=")</f>
        <v>#REF!</v>
      </c>
      <c r="K38" t="e">
        <f>AND(#REF!,"AAAAAH/99wo=")</f>
        <v>#REF!</v>
      </c>
      <c r="L38" t="e">
        <f>IF(#REF!,"AAAAAH/99ws=",0)</f>
        <v>#REF!</v>
      </c>
      <c r="M38" t="e">
        <f>AND(#REF!,"AAAAAH/99ww=")</f>
        <v>#REF!</v>
      </c>
      <c r="N38" t="e">
        <f>AND(#REF!,"AAAAAH/99w0=")</f>
        <v>#REF!</v>
      </c>
      <c r="O38" t="e">
        <f>AND(#REF!,"AAAAAH/99w4=")</f>
        <v>#REF!</v>
      </c>
      <c r="P38" t="e">
        <f>AND(#REF!,"AAAAAH/99w8=")</f>
        <v>#REF!</v>
      </c>
      <c r="Q38" t="e">
        <f>AND(#REF!,"AAAAAH/99xA=")</f>
        <v>#REF!</v>
      </c>
      <c r="R38" t="e">
        <f>AND(#REF!,"AAAAAH/99xE=")</f>
        <v>#REF!</v>
      </c>
      <c r="S38" t="e">
        <f>AND(#REF!,"AAAAAH/99xI=")</f>
        <v>#REF!</v>
      </c>
      <c r="T38" t="e">
        <f>AND(#REF!,"AAAAAH/99xM=")</f>
        <v>#REF!</v>
      </c>
      <c r="U38" t="e">
        <f>IF(#REF!,"AAAAAH/99xQ=",0)</f>
        <v>#REF!</v>
      </c>
      <c r="V38" t="e">
        <f>AND(#REF!,"AAAAAH/99xU=")</f>
        <v>#REF!</v>
      </c>
      <c r="W38" t="e">
        <f>AND(#REF!,"AAAAAH/99xY=")</f>
        <v>#REF!</v>
      </c>
      <c r="X38" t="e">
        <f>AND(#REF!,"AAAAAH/99xc=")</f>
        <v>#REF!</v>
      </c>
      <c r="Y38" t="e">
        <f>AND(#REF!,"AAAAAH/99xg=")</f>
        <v>#REF!</v>
      </c>
      <c r="Z38" t="e">
        <f>AND(#REF!,"AAAAAH/99xk=")</f>
        <v>#REF!</v>
      </c>
      <c r="AA38" t="e">
        <f>AND(#REF!,"AAAAAH/99xo=")</f>
        <v>#REF!</v>
      </c>
      <c r="AB38" t="e">
        <f>AND(#REF!,"AAAAAH/99xs=")</f>
        <v>#REF!</v>
      </c>
      <c r="AC38" t="e">
        <f>AND(#REF!,"AAAAAH/99xw=")</f>
        <v>#REF!</v>
      </c>
      <c r="AD38" t="e">
        <f>IF(#REF!,"AAAAAH/99x0=",0)</f>
        <v>#REF!</v>
      </c>
      <c r="AE38" t="e">
        <f>AND(#REF!,"AAAAAH/99x4=")</f>
        <v>#REF!</v>
      </c>
      <c r="AF38" t="e">
        <f>AND(#REF!,"AAAAAH/99x8=")</f>
        <v>#REF!</v>
      </c>
      <c r="AG38" t="e">
        <f>AND(#REF!,"AAAAAH/99yA=")</f>
        <v>#REF!</v>
      </c>
      <c r="AH38" t="e">
        <f>AND(#REF!,"AAAAAH/99yE=")</f>
        <v>#REF!</v>
      </c>
      <c r="AI38" t="e">
        <f>AND(#REF!,"AAAAAH/99yI=")</f>
        <v>#REF!</v>
      </c>
      <c r="AJ38" t="e">
        <f>AND(#REF!,"AAAAAH/99yM=")</f>
        <v>#REF!</v>
      </c>
      <c r="AK38" t="e">
        <f>AND(#REF!,"AAAAAH/99yQ=")</f>
        <v>#REF!</v>
      </c>
      <c r="AL38" t="e">
        <f>AND(#REF!,"AAAAAH/99yU=")</f>
        <v>#REF!</v>
      </c>
      <c r="AM38" t="e">
        <f>IF(#REF!,"AAAAAH/99yY=",0)</f>
        <v>#REF!</v>
      </c>
      <c r="AN38" t="e">
        <f>AND(#REF!,"AAAAAH/99yc=")</f>
        <v>#REF!</v>
      </c>
      <c r="AO38" t="e">
        <f>AND(#REF!,"AAAAAH/99yg=")</f>
        <v>#REF!</v>
      </c>
      <c r="AP38" t="e">
        <f>AND(#REF!,"AAAAAH/99yk=")</f>
        <v>#REF!</v>
      </c>
      <c r="AQ38" t="e">
        <f>AND(#REF!,"AAAAAH/99yo=")</f>
        <v>#REF!</v>
      </c>
      <c r="AR38" t="e">
        <f>AND(#REF!,"AAAAAH/99ys=")</f>
        <v>#REF!</v>
      </c>
      <c r="AS38" t="e">
        <f>AND(#REF!,"AAAAAH/99yw=")</f>
        <v>#REF!</v>
      </c>
      <c r="AT38" t="e">
        <f>AND(#REF!,"AAAAAH/99y0=")</f>
        <v>#REF!</v>
      </c>
      <c r="AU38" t="e">
        <f>AND(#REF!,"AAAAAH/99y4=")</f>
        <v>#REF!</v>
      </c>
      <c r="AV38" t="e">
        <f>IF(#REF!,"AAAAAH/99y8=",0)</f>
        <v>#REF!</v>
      </c>
      <c r="AW38" t="e">
        <f>AND(#REF!,"AAAAAH/99zA=")</f>
        <v>#REF!</v>
      </c>
      <c r="AX38" t="e">
        <f>AND(#REF!,"AAAAAH/99zE=")</f>
        <v>#REF!</v>
      </c>
      <c r="AY38" t="e">
        <f>AND(#REF!,"AAAAAH/99zI=")</f>
        <v>#REF!</v>
      </c>
      <c r="AZ38" t="e">
        <f>AND(#REF!,"AAAAAH/99zM=")</f>
        <v>#REF!</v>
      </c>
      <c r="BA38" t="e">
        <f>AND(#REF!,"AAAAAH/99zQ=")</f>
        <v>#REF!</v>
      </c>
      <c r="BB38" t="e">
        <f>AND(#REF!,"AAAAAH/99zU=")</f>
        <v>#REF!</v>
      </c>
      <c r="BC38" t="e">
        <f>AND(#REF!,"AAAAAH/99zY=")</f>
        <v>#REF!</v>
      </c>
      <c r="BD38" t="e">
        <f>AND(#REF!,"AAAAAH/99zc=")</f>
        <v>#REF!</v>
      </c>
      <c r="BE38" t="e">
        <f>IF(#REF!,"AAAAAH/99zg=",0)</f>
        <v>#REF!</v>
      </c>
      <c r="BF38" t="e">
        <f>IF(#REF!,"AAAAAH/99zk=",0)</f>
        <v>#REF!</v>
      </c>
      <c r="BG38" t="e">
        <f>IF(#REF!,"AAAAAH/99zo=",0)</f>
        <v>#REF!</v>
      </c>
      <c r="BH38" t="e">
        <f>IF(#REF!,"AAAAAH/99zs=",0)</f>
        <v>#REF!</v>
      </c>
      <c r="BI38" t="e">
        <f>IF(#REF!,"AAAAAH/99zw=",0)</f>
        <v>#REF!</v>
      </c>
      <c r="BJ38" t="e">
        <f>IF(#REF!,"AAAAAH/99z0=",0)</f>
        <v>#REF!</v>
      </c>
      <c r="BK38" t="e">
        <f>IF(#REF!,"AAAAAH/99z4=",0)</f>
        <v>#REF!</v>
      </c>
      <c r="BL38" t="e">
        <f>IF(#REF!,"AAAAAH/99z8=",0)</f>
        <v>#REF!</v>
      </c>
      <c r="BM38" t="e">
        <f>IF(#REF!,"AAAAAH/990A=",0)</f>
        <v>#REF!</v>
      </c>
      <c r="BN38" t="e">
        <f>IF(#REF!,"AAAAAH/990E=",0)</f>
        <v>#REF!</v>
      </c>
      <c r="BO38" t="e">
        <f>IF(#REF!,"AAAAAH/990I=",0)</f>
        <v>#REF!</v>
      </c>
      <c r="BP38" t="e">
        <f>IF(#REF!,"AAAAAH/990M=",0)</f>
        <v>#REF!</v>
      </c>
      <c r="BQ38" t="e">
        <f>IF(#REF!,"AAAAAH/990Q=",0)</f>
        <v>#REF!</v>
      </c>
      <c r="BR38" t="e">
        <f>IF(#REF!,"AAAAAH/990U=",0)</f>
        <v>#REF!</v>
      </c>
      <c r="BS38" t="e">
        <f>AND(#REF!,"AAAAAH/990Y=")</f>
        <v>#REF!</v>
      </c>
      <c r="BT38" t="e">
        <f>AND(#REF!,"AAAAAH/990c=")</f>
        <v>#REF!</v>
      </c>
      <c r="BU38" t="e">
        <f>AND(#REF!,"AAAAAH/990g=")</f>
        <v>#REF!</v>
      </c>
      <c r="BV38" t="e">
        <f>AND(#REF!,"AAAAAH/990k=")</f>
        <v>#REF!</v>
      </c>
      <c r="BW38" t="e">
        <f>AND(#REF!,"AAAAAH/990o=")</f>
        <v>#REF!</v>
      </c>
      <c r="BX38" t="e">
        <f>AND(#REF!,"AAAAAH/990s=")</f>
        <v>#REF!</v>
      </c>
      <c r="BY38" t="e">
        <f>AND(#REF!,"AAAAAH/990w=")</f>
        <v>#REF!</v>
      </c>
      <c r="BZ38" t="e">
        <f>AND(#REF!,"AAAAAH/9900=")</f>
        <v>#REF!</v>
      </c>
      <c r="CA38" t="e">
        <f>AND(#REF!,"AAAAAH/9904=")</f>
        <v>#REF!</v>
      </c>
      <c r="CB38" t="e">
        <f>AND(#REF!,"AAAAAH/9908=")</f>
        <v>#REF!</v>
      </c>
      <c r="CC38" t="e">
        <f>AND(#REF!,"AAAAAH/991A=")</f>
        <v>#REF!</v>
      </c>
      <c r="CD38" t="e">
        <f>AND(#REF!,"AAAAAH/991E=")</f>
        <v>#REF!</v>
      </c>
      <c r="CE38" t="e">
        <f>AND(#REF!,"AAAAAH/991I=")</f>
        <v>#REF!</v>
      </c>
      <c r="CF38" t="e">
        <f>IF(#REF!,"AAAAAH/991M=",0)</f>
        <v>#REF!</v>
      </c>
      <c r="CG38" t="e">
        <f>AND(#REF!,"AAAAAH/991Q=")</f>
        <v>#REF!</v>
      </c>
      <c r="CH38" t="e">
        <f>AND(#REF!,"AAAAAH/991U=")</f>
        <v>#REF!</v>
      </c>
      <c r="CI38" t="e">
        <f>AND(#REF!,"AAAAAH/991Y=")</f>
        <v>#REF!</v>
      </c>
      <c r="CJ38" t="e">
        <f>AND(#REF!,"AAAAAH/991c=")</f>
        <v>#REF!</v>
      </c>
      <c r="CK38" t="e">
        <f>AND(#REF!,"AAAAAH/991g=")</f>
        <v>#REF!</v>
      </c>
      <c r="CL38" t="e">
        <f>AND(#REF!,"AAAAAH/991k=")</f>
        <v>#REF!</v>
      </c>
      <c r="CM38" t="e">
        <f>AND(#REF!,"AAAAAH/991o=")</f>
        <v>#REF!</v>
      </c>
      <c r="CN38" t="e">
        <f>AND(#REF!,"AAAAAH/991s=")</f>
        <v>#REF!</v>
      </c>
      <c r="CO38" t="e">
        <f>AND(#REF!,"AAAAAH/991w=")</f>
        <v>#REF!</v>
      </c>
      <c r="CP38" t="e">
        <f>AND(#REF!,"AAAAAH/9910=")</f>
        <v>#REF!</v>
      </c>
      <c r="CQ38" t="e">
        <f>AND(#REF!,"AAAAAH/9914=")</f>
        <v>#REF!</v>
      </c>
      <c r="CR38" t="e">
        <f>AND(#REF!,"AAAAAH/9918=")</f>
        <v>#REF!</v>
      </c>
      <c r="CS38" t="e">
        <f>AND(#REF!,"AAAAAH/992A=")</f>
        <v>#REF!</v>
      </c>
      <c r="CT38" t="e">
        <f>IF(#REF!,"AAAAAH/992E=",0)</f>
        <v>#REF!</v>
      </c>
      <c r="CU38" t="e">
        <f>AND(#REF!,"AAAAAH/992I=")</f>
        <v>#REF!</v>
      </c>
      <c r="CV38" t="e">
        <f>AND(#REF!,"AAAAAH/992M=")</f>
        <v>#REF!</v>
      </c>
      <c r="CW38" t="e">
        <f>AND(#REF!,"AAAAAH/992Q=")</f>
        <v>#REF!</v>
      </c>
      <c r="CX38" t="e">
        <f>AND(#REF!,"AAAAAH/992U=")</f>
        <v>#REF!</v>
      </c>
      <c r="CY38" t="e">
        <f>AND(#REF!,"AAAAAH/992Y=")</f>
        <v>#REF!</v>
      </c>
      <c r="CZ38" t="e">
        <f>AND(#REF!,"AAAAAH/992c=")</f>
        <v>#REF!</v>
      </c>
      <c r="DA38" t="e">
        <f>AND(#REF!,"AAAAAH/992g=")</f>
        <v>#REF!</v>
      </c>
      <c r="DB38" t="e">
        <f>AND(#REF!,"AAAAAH/992k=")</f>
        <v>#REF!</v>
      </c>
      <c r="DC38" t="e">
        <f>AND(#REF!,"AAAAAH/992o=")</f>
        <v>#REF!</v>
      </c>
      <c r="DD38" t="e">
        <f>AND(#REF!,"AAAAAH/992s=")</f>
        <v>#REF!</v>
      </c>
      <c r="DE38" t="e">
        <f>AND(#REF!,"AAAAAH/992w=")</f>
        <v>#REF!</v>
      </c>
      <c r="DF38" t="e">
        <f>AND(#REF!,"AAAAAH/9920=")</f>
        <v>#REF!</v>
      </c>
      <c r="DG38" t="e">
        <f>AND(#REF!,"AAAAAH/9924=")</f>
        <v>#REF!</v>
      </c>
      <c r="DH38" t="e">
        <f>IF(#REF!,"AAAAAH/9928=",0)</f>
        <v>#REF!</v>
      </c>
      <c r="DI38" t="e">
        <f>AND(#REF!,"AAAAAH/993A=")</f>
        <v>#REF!</v>
      </c>
      <c r="DJ38" t="e">
        <f>AND(#REF!,"AAAAAH/993E=")</f>
        <v>#REF!</v>
      </c>
      <c r="DK38" t="e">
        <f>AND(#REF!,"AAAAAH/993I=")</f>
        <v>#REF!</v>
      </c>
      <c r="DL38" t="e">
        <f>AND(#REF!,"AAAAAH/993M=")</f>
        <v>#REF!</v>
      </c>
      <c r="DM38" t="e">
        <f>AND(#REF!,"AAAAAH/993Q=")</f>
        <v>#REF!</v>
      </c>
      <c r="DN38" t="e">
        <f>AND(#REF!,"AAAAAH/993U=")</f>
        <v>#REF!</v>
      </c>
      <c r="DO38" t="e">
        <f>AND(#REF!,"AAAAAH/993Y=")</f>
        <v>#REF!</v>
      </c>
      <c r="DP38" t="e">
        <f>AND(#REF!,"AAAAAH/993c=")</f>
        <v>#REF!</v>
      </c>
      <c r="DQ38" t="e">
        <f>AND(#REF!,"AAAAAH/993g=")</f>
        <v>#REF!</v>
      </c>
      <c r="DR38" t="e">
        <f>AND(#REF!,"AAAAAH/993k=")</f>
        <v>#REF!</v>
      </c>
      <c r="DS38" t="e">
        <f>AND(#REF!,"AAAAAH/993o=")</f>
        <v>#REF!</v>
      </c>
      <c r="DT38" t="e">
        <f>AND(#REF!,"AAAAAH/993s=")</f>
        <v>#REF!</v>
      </c>
      <c r="DU38" t="e">
        <f>AND(#REF!,"AAAAAH/993w=")</f>
        <v>#REF!</v>
      </c>
      <c r="DV38" t="e">
        <f>IF(#REF!,"AAAAAH/9930=",0)</f>
        <v>#REF!</v>
      </c>
      <c r="DW38" t="e">
        <f>AND(#REF!,"AAAAAH/9934=")</f>
        <v>#REF!</v>
      </c>
      <c r="DX38" t="e">
        <f>AND(#REF!,"AAAAAH/9938=")</f>
        <v>#REF!</v>
      </c>
      <c r="DY38" t="e">
        <f>AND(#REF!,"AAAAAH/994A=")</f>
        <v>#REF!</v>
      </c>
      <c r="DZ38" t="e">
        <f>AND(#REF!,"AAAAAH/994E=")</f>
        <v>#REF!</v>
      </c>
      <c r="EA38" t="e">
        <f>AND(#REF!,"AAAAAH/994I=")</f>
        <v>#REF!</v>
      </c>
      <c r="EB38" t="e">
        <f>AND(#REF!,"AAAAAH/994M=")</f>
        <v>#REF!</v>
      </c>
      <c r="EC38" t="e">
        <f>AND(#REF!,"AAAAAH/994Q=")</f>
        <v>#REF!</v>
      </c>
      <c r="ED38" t="e">
        <f>AND(#REF!,"AAAAAH/994U=")</f>
        <v>#REF!</v>
      </c>
      <c r="EE38" t="e">
        <f>AND(#REF!,"AAAAAH/994Y=")</f>
        <v>#REF!</v>
      </c>
      <c r="EF38" t="e">
        <f>AND(#REF!,"AAAAAH/994c=")</f>
        <v>#REF!</v>
      </c>
      <c r="EG38" t="e">
        <f>AND(#REF!,"AAAAAH/994g=")</f>
        <v>#REF!</v>
      </c>
      <c r="EH38" t="e">
        <f>AND(#REF!,"AAAAAH/994k=")</f>
        <v>#REF!</v>
      </c>
      <c r="EI38" t="e">
        <f>AND(#REF!,"AAAAAH/994o=")</f>
        <v>#REF!</v>
      </c>
      <c r="EJ38" t="e">
        <f>IF(#REF!,"AAAAAH/994s=",0)</f>
        <v>#REF!</v>
      </c>
      <c r="EK38" t="e">
        <f>AND(#REF!,"AAAAAH/994w=")</f>
        <v>#REF!</v>
      </c>
      <c r="EL38" t="e">
        <f>AND(#REF!,"AAAAAH/9940=")</f>
        <v>#REF!</v>
      </c>
      <c r="EM38" t="e">
        <f>AND(#REF!,"AAAAAH/9944=")</f>
        <v>#REF!</v>
      </c>
      <c r="EN38" t="e">
        <f>AND(#REF!,"AAAAAH/9948=")</f>
        <v>#REF!</v>
      </c>
      <c r="EO38" t="e">
        <f>AND(#REF!,"AAAAAH/995A=")</f>
        <v>#REF!</v>
      </c>
      <c r="EP38" t="e">
        <f>AND(#REF!,"AAAAAH/995E=")</f>
        <v>#REF!</v>
      </c>
      <c r="EQ38" t="e">
        <f>AND(#REF!,"AAAAAH/995I=")</f>
        <v>#REF!</v>
      </c>
      <c r="ER38" t="e">
        <f>AND(#REF!,"AAAAAH/995M=")</f>
        <v>#REF!</v>
      </c>
      <c r="ES38" t="e">
        <f>AND(#REF!,"AAAAAH/995Q=")</f>
        <v>#REF!</v>
      </c>
      <c r="ET38" t="e">
        <f>AND(#REF!,"AAAAAH/995U=")</f>
        <v>#REF!</v>
      </c>
      <c r="EU38" t="e">
        <f>AND(#REF!,"AAAAAH/995Y=")</f>
        <v>#REF!</v>
      </c>
      <c r="EV38" t="e">
        <f>AND(#REF!,"AAAAAH/995c=")</f>
        <v>#REF!</v>
      </c>
      <c r="EW38" t="e">
        <f>AND(#REF!,"AAAAAH/995g=")</f>
        <v>#REF!</v>
      </c>
      <c r="EX38" t="e">
        <f>IF(#REF!,"AAAAAH/995k=",0)</f>
        <v>#REF!</v>
      </c>
      <c r="EY38" t="e">
        <f>AND(#REF!,"AAAAAH/995o=")</f>
        <v>#REF!</v>
      </c>
      <c r="EZ38" t="e">
        <f>AND(#REF!,"AAAAAH/995s=")</f>
        <v>#REF!</v>
      </c>
      <c r="FA38" t="e">
        <f>AND(#REF!,"AAAAAH/995w=")</f>
        <v>#REF!</v>
      </c>
      <c r="FB38" t="e">
        <f>AND(#REF!,"AAAAAH/9950=")</f>
        <v>#REF!</v>
      </c>
      <c r="FC38" t="e">
        <f>AND(#REF!,"AAAAAH/9954=")</f>
        <v>#REF!</v>
      </c>
      <c r="FD38" t="e">
        <f>AND(#REF!,"AAAAAH/9958=")</f>
        <v>#REF!</v>
      </c>
      <c r="FE38" t="e">
        <f>AND(#REF!,"AAAAAH/996A=")</f>
        <v>#REF!</v>
      </c>
      <c r="FF38" t="e">
        <f>AND(#REF!,"AAAAAH/996E=")</f>
        <v>#REF!</v>
      </c>
      <c r="FG38" t="e">
        <f>AND(#REF!,"AAAAAH/996I=")</f>
        <v>#REF!</v>
      </c>
      <c r="FH38" t="e">
        <f>AND(#REF!,"AAAAAH/996M=")</f>
        <v>#REF!</v>
      </c>
      <c r="FI38" t="e">
        <f>AND(#REF!,"AAAAAH/996Q=")</f>
        <v>#REF!</v>
      </c>
      <c r="FJ38" t="e">
        <f>AND(#REF!,"AAAAAH/996U=")</f>
        <v>#REF!</v>
      </c>
      <c r="FK38" t="e">
        <f>AND(#REF!,"AAAAAH/996Y=")</f>
        <v>#REF!</v>
      </c>
      <c r="FL38" t="e">
        <f>IF(#REF!,"AAAAAH/996c=",0)</f>
        <v>#REF!</v>
      </c>
      <c r="FM38" t="e">
        <f>AND(#REF!,"AAAAAH/996g=")</f>
        <v>#REF!</v>
      </c>
      <c r="FN38" t="e">
        <f>AND(#REF!,"AAAAAH/996k=")</f>
        <v>#REF!</v>
      </c>
      <c r="FO38" t="e">
        <f>AND(#REF!,"AAAAAH/996o=")</f>
        <v>#REF!</v>
      </c>
      <c r="FP38" t="e">
        <f>AND(#REF!,"AAAAAH/996s=")</f>
        <v>#REF!</v>
      </c>
      <c r="FQ38" t="e">
        <f>AND(#REF!,"AAAAAH/996w=")</f>
        <v>#REF!</v>
      </c>
      <c r="FR38" t="e">
        <f>AND(#REF!,"AAAAAH/9960=")</f>
        <v>#REF!</v>
      </c>
      <c r="FS38" t="e">
        <f>AND(#REF!,"AAAAAH/9964=")</f>
        <v>#REF!</v>
      </c>
      <c r="FT38" t="e">
        <f>AND(#REF!,"AAAAAH/9968=")</f>
        <v>#REF!</v>
      </c>
      <c r="FU38" t="e">
        <f>AND(#REF!,"AAAAAH/997A=")</f>
        <v>#REF!</v>
      </c>
      <c r="FV38" t="e">
        <f>AND(#REF!,"AAAAAH/997E=")</f>
        <v>#REF!</v>
      </c>
      <c r="FW38" t="e">
        <f>AND(#REF!,"AAAAAH/997I=")</f>
        <v>#REF!</v>
      </c>
      <c r="FX38" t="e">
        <f>AND(#REF!,"AAAAAH/997M=")</f>
        <v>#REF!</v>
      </c>
      <c r="FY38" t="e">
        <f>AND(#REF!,"AAAAAH/997Q=")</f>
        <v>#REF!</v>
      </c>
      <c r="FZ38" t="e">
        <f>IF(#REF!,"AAAAAH/997U=",0)</f>
        <v>#REF!</v>
      </c>
      <c r="GA38" t="e">
        <f>AND(#REF!,"AAAAAH/997Y=")</f>
        <v>#REF!</v>
      </c>
      <c r="GB38" t="e">
        <f>AND(#REF!,"AAAAAH/997c=")</f>
        <v>#REF!</v>
      </c>
      <c r="GC38" t="e">
        <f>AND(#REF!,"AAAAAH/997g=")</f>
        <v>#REF!</v>
      </c>
      <c r="GD38" t="e">
        <f>AND(#REF!,"AAAAAH/997k=")</f>
        <v>#REF!</v>
      </c>
      <c r="GE38" t="e">
        <f>AND(#REF!,"AAAAAH/997o=")</f>
        <v>#REF!</v>
      </c>
      <c r="GF38" t="e">
        <f>AND(#REF!,"AAAAAH/997s=")</f>
        <v>#REF!</v>
      </c>
      <c r="GG38" t="e">
        <f>AND(#REF!,"AAAAAH/997w=")</f>
        <v>#REF!</v>
      </c>
      <c r="GH38" t="e">
        <f>AND(#REF!,"AAAAAH/9970=")</f>
        <v>#REF!</v>
      </c>
      <c r="GI38" t="e">
        <f>AND(#REF!,"AAAAAH/9974=")</f>
        <v>#REF!</v>
      </c>
      <c r="GJ38" t="e">
        <f>AND(#REF!,"AAAAAH/9978=")</f>
        <v>#REF!</v>
      </c>
      <c r="GK38" t="e">
        <f>AND(#REF!,"AAAAAH/998A=")</f>
        <v>#REF!</v>
      </c>
      <c r="GL38" t="e">
        <f>AND(#REF!,"AAAAAH/998E=")</f>
        <v>#REF!</v>
      </c>
      <c r="GM38" t="e">
        <f>AND(#REF!,"AAAAAH/998I=")</f>
        <v>#REF!</v>
      </c>
      <c r="GN38" t="e">
        <f>IF(#REF!,"AAAAAH/998M=",0)</f>
        <v>#REF!</v>
      </c>
      <c r="GO38" t="e">
        <f>AND(#REF!,"AAAAAH/998Q=")</f>
        <v>#REF!</v>
      </c>
      <c r="GP38" t="e">
        <f>AND(#REF!,"AAAAAH/998U=")</f>
        <v>#REF!</v>
      </c>
      <c r="GQ38" t="e">
        <f>AND(#REF!,"AAAAAH/998Y=")</f>
        <v>#REF!</v>
      </c>
      <c r="GR38" t="e">
        <f>AND(#REF!,"AAAAAH/998c=")</f>
        <v>#REF!</v>
      </c>
      <c r="GS38" t="e">
        <f>AND(#REF!,"AAAAAH/998g=")</f>
        <v>#REF!</v>
      </c>
      <c r="GT38" t="e">
        <f>AND(#REF!,"AAAAAH/998k=")</f>
        <v>#REF!</v>
      </c>
      <c r="GU38" t="e">
        <f>AND(#REF!,"AAAAAH/998o=")</f>
        <v>#REF!</v>
      </c>
      <c r="GV38" t="e">
        <f>AND(#REF!,"AAAAAH/998s=")</f>
        <v>#REF!</v>
      </c>
      <c r="GW38" t="e">
        <f>AND(#REF!,"AAAAAH/998w=")</f>
        <v>#REF!</v>
      </c>
      <c r="GX38" t="e">
        <f>AND(#REF!,"AAAAAH/9980=")</f>
        <v>#REF!</v>
      </c>
      <c r="GY38" t="e">
        <f>AND(#REF!,"AAAAAH/9984=")</f>
        <v>#REF!</v>
      </c>
      <c r="GZ38" t="e">
        <f>AND(#REF!,"AAAAAH/9988=")</f>
        <v>#REF!</v>
      </c>
      <c r="HA38" t="e">
        <f>AND(#REF!,"AAAAAH/999A=")</f>
        <v>#REF!</v>
      </c>
      <c r="HB38" t="e">
        <f>IF(#REF!,"AAAAAH/999E=",0)</f>
        <v>#REF!</v>
      </c>
      <c r="HC38" t="e">
        <f>AND(#REF!,"AAAAAH/999I=")</f>
        <v>#REF!</v>
      </c>
      <c r="HD38" t="e">
        <f>AND(#REF!,"AAAAAH/999M=")</f>
        <v>#REF!</v>
      </c>
      <c r="HE38" t="e">
        <f>AND(#REF!,"AAAAAH/999Q=")</f>
        <v>#REF!</v>
      </c>
      <c r="HF38" t="e">
        <f>AND(#REF!,"AAAAAH/999U=")</f>
        <v>#REF!</v>
      </c>
      <c r="HG38" t="e">
        <f>AND(#REF!,"AAAAAH/999Y=")</f>
        <v>#REF!</v>
      </c>
      <c r="HH38" t="e">
        <f>AND(#REF!,"AAAAAH/999c=")</f>
        <v>#REF!</v>
      </c>
      <c r="HI38" t="e">
        <f>AND(#REF!,"AAAAAH/999g=")</f>
        <v>#REF!</v>
      </c>
      <c r="HJ38" t="e">
        <f>AND(#REF!,"AAAAAH/999k=")</f>
        <v>#REF!</v>
      </c>
      <c r="HK38" t="e">
        <f>AND(#REF!,"AAAAAH/999o=")</f>
        <v>#REF!</v>
      </c>
      <c r="HL38" t="e">
        <f>AND(#REF!,"AAAAAH/999s=")</f>
        <v>#REF!</v>
      </c>
      <c r="HM38" t="e">
        <f>AND(#REF!,"AAAAAH/999w=")</f>
        <v>#REF!</v>
      </c>
      <c r="HN38" t="e">
        <f>AND(#REF!,"AAAAAH/9990=")</f>
        <v>#REF!</v>
      </c>
      <c r="HO38" t="e">
        <f>AND(#REF!,"AAAAAH/9994=")</f>
        <v>#REF!</v>
      </c>
      <c r="HP38" t="e">
        <f>IF(#REF!,"AAAAAH/9998=",0)</f>
        <v>#REF!</v>
      </c>
      <c r="HQ38" t="e">
        <f>AND(#REF!,"AAAAAH/99+A=")</f>
        <v>#REF!</v>
      </c>
      <c r="HR38" t="e">
        <f>AND(#REF!,"AAAAAH/99+E=")</f>
        <v>#REF!</v>
      </c>
      <c r="HS38" t="e">
        <f>AND(#REF!,"AAAAAH/99+I=")</f>
        <v>#REF!</v>
      </c>
      <c r="HT38" t="e">
        <f>AND(#REF!,"AAAAAH/99+M=")</f>
        <v>#REF!</v>
      </c>
      <c r="HU38" t="e">
        <f>AND(#REF!,"AAAAAH/99+Q=")</f>
        <v>#REF!</v>
      </c>
      <c r="HV38" t="e">
        <f>AND(#REF!,"AAAAAH/99+U=")</f>
        <v>#REF!</v>
      </c>
      <c r="HW38" t="e">
        <f>AND(#REF!,"AAAAAH/99+Y=")</f>
        <v>#REF!</v>
      </c>
      <c r="HX38" t="e">
        <f>AND(#REF!,"AAAAAH/99+c=")</f>
        <v>#REF!</v>
      </c>
      <c r="HY38" t="e">
        <f>AND(#REF!,"AAAAAH/99+g=")</f>
        <v>#REF!</v>
      </c>
      <c r="HZ38" t="e">
        <f>AND(#REF!,"AAAAAH/99+k=")</f>
        <v>#REF!</v>
      </c>
      <c r="IA38" t="e">
        <f>AND(#REF!,"AAAAAH/99+o=")</f>
        <v>#REF!</v>
      </c>
      <c r="IB38" t="e">
        <f>AND(#REF!,"AAAAAH/99+s=")</f>
        <v>#REF!</v>
      </c>
      <c r="IC38" t="e">
        <f>AND(#REF!,"AAAAAH/99+w=")</f>
        <v>#REF!</v>
      </c>
      <c r="ID38" t="e">
        <f>IF(#REF!,"AAAAAH/99+0=",0)</f>
        <v>#REF!</v>
      </c>
      <c r="IE38" t="e">
        <f>AND(#REF!,"AAAAAH/99+4=")</f>
        <v>#REF!</v>
      </c>
      <c r="IF38" t="e">
        <f>AND(#REF!,"AAAAAH/99+8=")</f>
        <v>#REF!</v>
      </c>
      <c r="IG38" t="e">
        <f>AND(#REF!,"AAAAAH/99/A=")</f>
        <v>#REF!</v>
      </c>
      <c r="IH38" t="e">
        <f>AND(#REF!,"AAAAAH/99/E=")</f>
        <v>#REF!</v>
      </c>
      <c r="II38" t="e">
        <f>AND(#REF!,"AAAAAH/99/I=")</f>
        <v>#REF!</v>
      </c>
      <c r="IJ38" t="e">
        <f>AND(#REF!,"AAAAAH/99/M=")</f>
        <v>#REF!</v>
      </c>
      <c r="IK38" t="e">
        <f>AND(#REF!,"AAAAAH/99/Q=")</f>
        <v>#REF!</v>
      </c>
      <c r="IL38" t="e">
        <f>AND(#REF!,"AAAAAH/99/U=")</f>
        <v>#REF!</v>
      </c>
      <c r="IM38" t="e">
        <f>AND(#REF!,"AAAAAH/99/Y=")</f>
        <v>#REF!</v>
      </c>
      <c r="IN38" t="e">
        <f>AND(#REF!,"AAAAAH/99/c=")</f>
        <v>#REF!</v>
      </c>
      <c r="IO38" t="e">
        <f>AND(#REF!,"AAAAAH/99/g=")</f>
        <v>#REF!</v>
      </c>
      <c r="IP38" t="e">
        <f>AND(#REF!,"AAAAAH/99/k=")</f>
        <v>#REF!</v>
      </c>
      <c r="IQ38" t="e">
        <f>AND(#REF!,"AAAAAH/99/o=")</f>
        <v>#REF!</v>
      </c>
      <c r="IR38" t="e">
        <f>IF(#REF!,"AAAAAH/99/s=",0)</f>
        <v>#REF!</v>
      </c>
      <c r="IS38" t="e">
        <f>AND(#REF!,"AAAAAH/99/w=")</f>
        <v>#REF!</v>
      </c>
      <c r="IT38" t="e">
        <f>AND(#REF!,"AAAAAH/99/0=")</f>
        <v>#REF!</v>
      </c>
      <c r="IU38" t="e">
        <f>AND(#REF!,"AAAAAH/99/4=")</f>
        <v>#REF!</v>
      </c>
      <c r="IV38" t="e">
        <f>AND(#REF!,"AAAAAH/99/8=")</f>
        <v>#REF!</v>
      </c>
    </row>
    <row r="39" spans="1:256" x14ac:dyDescent="0.2">
      <c r="A39" t="e">
        <f>AND(#REF!,"AAAAAF7bewA=")</f>
        <v>#REF!</v>
      </c>
      <c r="B39" t="e">
        <f>AND(#REF!,"AAAAAF7bewE=")</f>
        <v>#REF!</v>
      </c>
      <c r="C39" t="e">
        <f>AND(#REF!,"AAAAAF7bewI=")</f>
        <v>#REF!</v>
      </c>
      <c r="D39" t="e">
        <f>AND(#REF!,"AAAAAF7bewM=")</f>
        <v>#REF!</v>
      </c>
      <c r="E39" t="e">
        <f>AND(#REF!,"AAAAAF7bewQ=")</f>
        <v>#REF!</v>
      </c>
      <c r="F39" t="e">
        <f>AND(#REF!,"AAAAAF7bewU=")</f>
        <v>#REF!</v>
      </c>
      <c r="G39" t="e">
        <f>AND(#REF!,"AAAAAF7bewY=")</f>
        <v>#REF!</v>
      </c>
      <c r="H39" t="e">
        <f>AND(#REF!,"AAAAAF7bewc=")</f>
        <v>#REF!</v>
      </c>
      <c r="I39" t="e">
        <f>AND(#REF!,"AAAAAF7bewg=")</f>
        <v>#REF!</v>
      </c>
      <c r="J39" t="e">
        <f>IF(#REF!,"AAAAAF7bewk=",0)</f>
        <v>#REF!</v>
      </c>
      <c r="K39" t="e">
        <f>AND(#REF!,"AAAAAF7bewo=")</f>
        <v>#REF!</v>
      </c>
      <c r="L39" t="e">
        <f>AND(#REF!,"AAAAAF7bews=")</f>
        <v>#REF!</v>
      </c>
      <c r="M39" t="e">
        <f>AND(#REF!,"AAAAAF7beww=")</f>
        <v>#REF!</v>
      </c>
      <c r="N39" t="e">
        <f>AND(#REF!,"AAAAAF7bew0=")</f>
        <v>#REF!</v>
      </c>
      <c r="O39" t="e">
        <f>AND(#REF!,"AAAAAF7bew4=")</f>
        <v>#REF!</v>
      </c>
      <c r="P39" t="e">
        <f>AND(#REF!,"AAAAAF7bew8=")</f>
        <v>#REF!</v>
      </c>
      <c r="Q39" t="e">
        <f>AND(#REF!,"AAAAAF7bexA=")</f>
        <v>#REF!</v>
      </c>
      <c r="R39" t="e">
        <f>AND(#REF!,"AAAAAF7bexE=")</f>
        <v>#REF!</v>
      </c>
      <c r="S39" t="e">
        <f>AND(#REF!,"AAAAAF7bexI=")</f>
        <v>#REF!</v>
      </c>
      <c r="T39" t="e">
        <f>AND(#REF!,"AAAAAF7bexM=")</f>
        <v>#REF!</v>
      </c>
      <c r="U39" t="e">
        <f>AND(#REF!,"AAAAAF7bexQ=")</f>
        <v>#REF!</v>
      </c>
      <c r="V39" t="e">
        <f>AND(#REF!,"AAAAAF7bexU=")</f>
        <v>#REF!</v>
      </c>
      <c r="W39" t="e">
        <f>AND(#REF!,"AAAAAF7bexY=")</f>
        <v>#REF!</v>
      </c>
      <c r="X39" t="e">
        <f>IF(#REF!,"AAAAAF7bexc=",0)</f>
        <v>#REF!</v>
      </c>
      <c r="Y39" t="e">
        <f>AND(#REF!,"AAAAAF7bexg=")</f>
        <v>#REF!</v>
      </c>
      <c r="Z39" t="e">
        <f>AND(#REF!,"AAAAAF7bexk=")</f>
        <v>#REF!</v>
      </c>
      <c r="AA39" t="e">
        <f>AND(#REF!,"AAAAAF7bexo=")</f>
        <v>#REF!</v>
      </c>
      <c r="AB39" t="e">
        <f>AND(#REF!,"AAAAAF7bexs=")</f>
        <v>#REF!</v>
      </c>
      <c r="AC39" t="e">
        <f>AND(#REF!,"AAAAAF7bexw=")</f>
        <v>#REF!</v>
      </c>
      <c r="AD39" t="e">
        <f>AND(#REF!,"AAAAAF7bex0=")</f>
        <v>#REF!</v>
      </c>
      <c r="AE39" t="e">
        <f>AND(#REF!,"AAAAAF7bex4=")</f>
        <v>#REF!</v>
      </c>
      <c r="AF39" t="e">
        <f>AND(#REF!,"AAAAAF7bex8=")</f>
        <v>#REF!</v>
      </c>
      <c r="AG39" t="e">
        <f>AND(#REF!,"AAAAAF7beyA=")</f>
        <v>#REF!</v>
      </c>
      <c r="AH39" t="e">
        <f>AND(#REF!,"AAAAAF7beyE=")</f>
        <v>#REF!</v>
      </c>
      <c r="AI39" t="e">
        <f>AND(#REF!,"AAAAAF7beyI=")</f>
        <v>#REF!</v>
      </c>
      <c r="AJ39" t="e">
        <f>AND(#REF!,"AAAAAF7beyM=")</f>
        <v>#REF!</v>
      </c>
      <c r="AK39" t="e">
        <f>AND(#REF!,"AAAAAF7beyQ=")</f>
        <v>#REF!</v>
      </c>
      <c r="AL39" t="e">
        <f>IF(#REF!,"AAAAAF7beyU=",0)</f>
        <v>#REF!</v>
      </c>
      <c r="AM39" t="e">
        <f>AND(#REF!,"AAAAAF7beyY=")</f>
        <v>#REF!</v>
      </c>
      <c r="AN39" t="e">
        <f>AND(#REF!,"AAAAAF7beyc=")</f>
        <v>#REF!</v>
      </c>
      <c r="AO39" t="e">
        <f>AND(#REF!,"AAAAAF7beyg=")</f>
        <v>#REF!</v>
      </c>
      <c r="AP39" t="e">
        <f>AND(#REF!,"AAAAAF7beyk=")</f>
        <v>#REF!</v>
      </c>
      <c r="AQ39" t="e">
        <f>AND(#REF!,"AAAAAF7beyo=")</f>
        <v>#REF!</v>
      </c>
      <c r="AR39" t="e">
        <f>AND(#REF!,"AAAAAF7beys=")</f>
        <v>#REF!</v>
      </c>
      <c r="AS39" t="e">
        <f>AND(#REF!,"AAAAAF7beyw=")</f>
        <v>#REF!</v>
      </c>
      <c r="AT39" t="e">
        <f>AND(#REF!,"AAAAAF7bey0=")</f>
        <v>#REF!</v>
      </c>
      <c r="AU39" t="e">
        <f>AND(#REF!,"AAAAAF7bey4=")</f>
        <v>#REF!</v>
      </c>
      <c r="AV39" t="e">
        <f>AND(#REF!,"AAAAAF7bey8=")</f>
        <v>#REF!</v>
      </c>
      <c r="AW39" t="e">
        <f>AND(#REF!,"AAAAAF7bezA=")</f>
        <v>#REF!</v>
      </c>
      <c r="AX39" t="e">
        <f>AND(#REF!,"AAAAAF7bezE=")</f>
        <v>#REF!</v>
      </c>
      <c r="AY39" t="e">
        <f>AND(#REF!,"AAAAAF7bezI=")</f>
        <v>#REF!</v>
      </c>
      <c r="AZ39" t="e">
        <f>IF(#REF!,"AAAAAF7bezM=",0)</f>
        <v>#REF!</v>
      </c>
      <c r="BA39" t="e">
        <f>AND(#REF!,"AAAAAF7bezQ=")</f>
        <v>#REF!</v>
      </c>
      <c r="BB39" t="e">
        <f>AND(#REF!,"AAAAAF7bezU=")</f>
        <v>#REF!</v>
      </c>
      <c r="BC39" t="e">
        <f>AND(#REF!,"AAAAAF7bezY=")</f>
        <v>#REF!</v>
      </c>
      <c r="BD39" t="e">
        <f>AND(#REF!,"AAAAAF7bezc=")</f>
        <v>#REF!</v>
      </c>
      <c r="BE39" t="e">
        <f>AND(#REF!,"AAAAAF7bezg=")</f>
        <v>#REF!</v>
      </c>
      <c r="BF39" t="e">
        <f>AND(#REF!,"AAAAAF7bezk=")</f>
        <v>#REF!</v>
      </c>
      <c r="BG39" t="e">
        <f>AND(#REF!,"AAAAAF7bezo=")</f>
        <v>#REF!</v>
      </c>
      <c r="BH39" t="e">
        <f>AND(#REF!,"AAAAAF7bezs=")</f>
        <v>#REF!</v>
      </c>
      <c r="BI39" t="e">
        <f>AND(#REF!,"AAAAAF7bezw=")</f>
        <v>#REF!</v>
      </c>
      <c r="BJ39" t="e">
        <f>AND(#REF!,"AAAAAF7bez0=")</f>
        <v>#REF!</v>
      </c>
      <c r="BK39" t="e">
        <f>AND(#REF!,"AAAAAF7bez4=")</f>
        <v>#REF!</v>
      </c>
      <c r="BL39" t="e">
        <f>AND(#REF!,"AAAAAF7bez8=")</f>
        <v>#REF!</v>
      </c>
      <c r="BM39" t="e">
        <f>AND(#REF!,"AAAAAF7be0A=")</f>
        <v>#REF!</v>
      </c>
      <c r="BN39" t="e">
        <f>IF(#REF!,"AAAAAF7be0E=",0)</f>
        <v>#REF!</v>
      </c>
      <c r="BO39" t="e">
        <f>AND(#REF!,"AAAAAF7be0I=")</f>
        <v>#REF!</v>
      </c>
      <c r="BP39" t="e">
        <f>AND(#REF!,"AAAAAF7be0M=")</f>
        <v>#REF!</v>
      </c>
      <c r="BQ39" t="e">
        <f>AND(#REF!,"AAAAAF7be0Q=")</f>
        <v>#REF!</v>
      </c>
      <c r="BR39" t="e">
        <f>AND(#REF!,"AAAAAF7be0U=")</f>
        <v>#REF!</v>
      </c>
      <c r="BS39" t="e">
        <f>AND(#REF!,"AAAAAF7be0Y=")</f>
        <v>#REF!</v>
      </c>
      <c r="BT39" t="e">
        <f>AND(#REF!,"AAAAAF7be0c=")</f>
        <v>#REF!</v>
      </c>
      <c r="BU39" t="e">
        <f>AND(#REF!,"AAAAAF7be0g=")</f>
        <v>#REF!</v>
      </c>
      <c r="BV39" t="e">
        <f>AND(#REF!,"AAAAAF7be0k=")</f>
        <v>#REF!</v>
      </c>
      <c r="BW39" t="e">
        <f>AND(#REF!,"AAAAAF7be0o=")</f>
        <v>#REF!</v>
      </c>
      <c r="BX39" t="e">
        <f>AND(#REF!,"AAAAAF7be0s=")</f>
        <v>#REF!</v>
      </c>
      <c r="BY39" t="e">
        <f>AND(#REF!,"AAAAAF7be0w=")</f>
        <v>#REF!</v>
      </c>
      <c r="BZ39" t="e">
        <f>AND(#REF!,"AAAAAF7be00=")</f>
        <v>#REF!</v>
      </c>
      <c r="CA39" t="e">
        <f>AND(#REF!,"AAAAAF7be04=")</f>
        <v>#REF!</v>
      </c>
      <c r="CB39" t="e">
        <f>IF(#REF!,"AAAAAF7be08=",0)</f>
        <v>#REF!</v>
      </c>
      <c r="CC39" t="e">
        <f>AND(#REF!,"AAAAAF7be1A=")</f>
        <v>#REF!</v>
      </c>
      <c r="CD39" t="e">
        <f>AND(#REF!,"AAAAAF7be1E=")</f>
        <v>#REF!</v>
      </c>
      <c r="CE39" t="e">
        <f>AND(#REF!,"AAAAAF7be1I=")</f>
        <v>#REF!</v>
      </c>
      <c r="CF39" t="e">
        <f>AND(#REF!,"AAAAAF7be1M=")</f>
        <v>#REF!</v>
      </c>
      <c r="CG39" t="e">
        <f>AND(#REF!,"AAAAAF7be1Q=")</f>
        <v>#REF!</v>
      </c>
      <c r="CH39" t="e">
        <f>AND(#REF!,"AAAAAF7be1U=")</f>
        <v>#REF!</v>
      </c>
      <c r="CI39" t="e">
        <f>AND(#REF!,"AAAAAF7be1Y=")</f>
        <v>#REF!</v>
      </c>
      <c r="CJ39" t="e">
        <f>AND(#REF!,"AAAAAF7be1c=")</f>
        <v>#REF!</v>
      </c>
      <c r="CK39" t="e">
        <f>AND(#REF!,"AAAAAF7be1g=")</f>
        <v>#REF!</v>
      </c>
      <c r="CL39" t="e">
        <f>AND(#REF!,"AAAAAF7be1k=")</f>
        <v>#REF!</v>
      </c>
      <c r="CM39" t="e">
        <f>AND(#REF!,"AAAAAF7be1o=")</f>
        <v>#REF!</v>
      </c>
      <c r="CN39" t="e">
        <f>AND(#REF!,"AAAAAF7be1s=")</f>
        <v>#REF!</v>
      </c>
      <c r="CO39" t="e">
        <f>AND(#REF!,"AAAAAF7be1w=")</f>
        <v>#REF!</v>
      </c>
      <c r="CP39" t="e">
        <f>IF(#REF!,"AAAAAF7be10=",0)</f>
        <v>#REF!</v>
      </c>
      <c r="CQ39" t="e">
        <f>AND(#REF!,"AAAAAF7be14=")</f>
        <v>#REF!</v>
      </c>
      <c r="CR39" t="e">
        <f>AND(#REF!,"AAAAAF7be18=")</f>
        <v>#REF!</v>
      </c>
      <c r="CS39" t="e">
        <f>AND(#REF!,"AAAAAF7be2A=")</f>
        <v>#REF!</v>
      </c>
      <c r="CT39" t="e">
        <f>AND(#REF!,"AAAAAF7be2E=")</f>
        <v>#REF!</v>
      </c>
      <c r="CU39" t="e">
        <f>AND(#REF!,"AAAAAF7be2I=")</f>
        <v>#REF!</v>
      </c>
      <c r="CV39" t="e">
        <f>AND(#REF!,"AAAAAF7be2M=")</f>
        <v>#REF!</v>
      </c>
      <c r="CW39" t="e">
        <f>AND(#REF!,"AAAAAF7be2Q=")</f>
        <v>#REF!</v>
      </c>
      <c r="CX39" t="e">
        <f>AND(#REF!,"AAAAAF7be2U=")</f>
        <v>#REF!</v>
      </c>
      <c r="CY39" t="e">
        <f>AND(#REF!,"AAAAAF7be2Y=")</f>
        <v>#REF!</v>
      </c>
      <c r="CZ39" t="e">
        <f>AND(#REF!,"AAAAAF7be2c=")</f>
        <v>#REF!</v>
      </c>
      <c r="DA39" t="e">
        <f>AND(#REF!,"AAAAAF7be2g=")</f>
        <v>#REF!</v>
      </c>
      <c r="DB39" t="e">
        <f>AND(#REF!,"AAAAAF7be2k=")</f>
        <v>#REF!</v>
      </c>
      <c r="DC39" t="e">
        <f>AND(#REF!,"AAAAAF7be2o=")</f>
        <v>#REF!</v>
      </c>
      <c r="DD39" t="e">
        <f>IF(#REF!,"AAAAAF7be2s=",0)</f>
        <v>#REF!</v>
      </c>
      <c r="DE39" t="e">
        <f>AND(#REF!,"AAAAAF7be2w=")</f>
        <v>#REF!</v>
      </c>
      <c r="DF39" t="e">
        <f>AND(#REF!,"AAAAAF7be20=")</f>
        <v>#REF!</v>
      </c>
      <c r="DG39" t="e">
        <f>AND(#REF!,"AAAAAF7be24=")</f>
        <v>#REF!</v>
      </c>
      <c r="DH39" t="e">
        <f>AND(#REF!,"AAAAAF7be28=")</f>
        <v>#REF!</v>
      </c>
      <c r="DI39" t="e">
        <f>AND(#REF!,"AAAAAF7be3A=")</f>
        <v>#REF!</v>
      </c>
      <c r="DJ39" t="e">
        <f>AND(#REF!,"AAAAAF7be3E=")</f>
        <v>#REF!</v>
      </c>
      <c r="DK39" t="e">
        <f>AND(#REF!,"AAAAAF7be3I=")</f>
        <v>#REF!</v>
      </c>
      <c r="DL39" t="e">
        <f>AND(#REF!,"AAAAAF7be3M=")</f>
        <v>#REF!</v>
      </c>
      <c r="DM39" t="e">
        <f>AND(#REF!,"AAAAAF7be3Q=")</f>
        <v>#REF!</v>
      </c>
      <c r="DN39" t="e">
        <f>AND(#REF!,"AAAAAF7be3U=")</f>
        <v>#REF!</v>
      </c>
      <c r="DO39" t="e">
        <f>AND(#REF!,"AAAAAF7be3Y=")</f>
        <v>#REF!</v>
      </c>
      <c r="DP39" t="e">
        <f>AND(#REF!,"AAAAAF7be3c=")</f>
        <v>#REF!</v>
      </c>
      <c r="DQ39" t="e">
        <f>AND(#REF!,"AAAAAF7be3g=")</f>
        <v>#REF!</v>
      </c>
      <c r="DR39" t="e">
        <f>IF(#REF!,"AAAAAF7be3k=",0)</f>
        <v>#REF!</v>
      </c>
      <c r="DS39" t="e">
        <f>AND(#REF!,"AAAAAF7be3o=")</f>
        <v>#REF!</v>
      </c>
      <c r="DT39" t="e">
        <f>AND(#REF!,"AAAAAF7be3s=")</f>
        <v>#REF!</v>
      </c>
      <c r="DU39" t="e">
        <f>AND(#REF!,"AAAAAF7be3w=")</f>
        <v>#REF!</v>
      </c>
      <c r="DV39" t="e">
        <f>AND(#REF!,"AAAAAF7be30=")</f>
        <v>#REF!</v>
      </c>
      <c r="DW39" t="e">
        <f>AND(#REF!,"AAAAAF7be34=")</f>
        <v>#REF!</v>
      </c>
      <c r="DX39" t="e">
        <f>AND(#REF!,"AAAAAF7be38=")</f>
        <v>#REF!</v>
      </c>
      <c r="DY39" t="e">
        <f>AND(#REF!,"AAAAAF7be4A=")</f>
        <v>#REF!</v>
      </c>
      <c r="DZ39" t="e">
        <f>AND(#REF!,"AAAAAF7be4E=")</f>
        <v>#REF!</v>
      </c>
      <c r="EA39" t="e">
        <f>AND(#REF!,"AAAAAF7be4I=")</f>
        <v>#REF!</v>
      </c>
      <c r="EB39" t="e">
        <f>AND(#REF!,"AAAAAF7be4M=")</f>
        <v>#REF!</v>
      </c>
      <c r="EC39" t="e">
        <f>AND(#REF!,"AAAAAF7be4Q=")</f>
        <v>#REF!</v>
      </c>
      <c r="ED39" t="e">
        <f>AND(#REF!,"AAAAAF7be4U=")</f>
        <v>#REF!</v>
      </c>
      <c r="EE39" t="e">
        <f>AND(#REF!,"AAAAAF7be4Y=")</f>
        <v>#REF!</v>
      </c>
      <c r="EF39" t="e">
        <f>IF(#REF!,"AAAAAF7be4c=",0)</f>
        <v>#REF!</v>
      </c>
      <c r="EG39" t="e">
        <f>AND(#REF!,"AAAAAF7be4g=")</f>
        <v>#REF!</v>
      </c>
      <c r="EH39" t="e">
        <f>AND(#REF!,"AAAAAF7be4k=")</f>
        <v>#REF!</v>
      </c>
      <c r="EI39" t="e">
        <f>AND(#REF!,"AAAAAF7be4o=")</f>
        <v>#REF!</v>
      </c>
      <c r="EJ39" t="e">
        <f>AND(#REF!,"AAAAAF7be4s=")</f>
        <v>#REF!</v>
      </c>
      <c r="EK39" t="e">
        <f>AND(#REF!,"AAAAAF7be4w=")</f>
        <v>#REF!</v>
      </c>
      <c r="EL39" t="e">
        <f>AND(#REF!,"AAAAAF7be40=")</f>
        <v>#REF!</v>
      </c>
      <c r="EM39" t="e">
        <f>AND(#REF!,"AAAAAF7be44=")</f>
        <v>#REF!</v>
      </c>
      <c r="EN39" t="e">
        <f>AND(#REF!,"AAAAAF7be48=")</f>
        <v>#REF!</v>
      </c>
      <c r="EO39" t="e">
        <f>AND(#REF!,"AAAAAF7be5A=")</f>
        <v>#REF!</v>
      </c>
      <c r="EP39" t="e">
        <f>AND(#REF!,"AAAAAF7be5E=")</f>
        <v>#REF!</v>
      </c>
      <c r="EQ39" t="e">
        <f>AND(#REF!,"AAAAAF7be5I=")</f>
        <v>#REF!</v>
      </c>
      <c r="ER39" t="e">
        <f>AND(#REF!,"AAAAAF7be5M=")</f>
        <v>#REF!</v>
      </c>
      <c r="ES39" t="e">
        <f>AND(#REF!,"AAAAAF7be5Q=")</f>
        <v>#REF!</v>
      </c>
      <c r="ET39" t="e">
        <f>IF(#REF!,"AAAAAF7be5U=",0)</f>
        <v>#REF!</v>
      </c>
      <c r="EU39" t="e">
        <f>AND(#REF!,"AAAAAF7be5Y=")</f>
        <v>#REF!</v>
      </c>
      <c r="EV39" t="e">
        <f>AND(#REF!,"AAAAAF7be5c=")</f>
        <v>#REF!</v>
      </c>
      <c r="EW39" t="e">
        <f>AND(#REF!,"AAAAAF7be5g=")</f>
        <v>#REF!</v>
      </c>
      <c r="EX39" t="e">
        <f>AND(#REF!,"AAAAAF7be5k=")</f>
        <v>#REF!</v>
      </c>
      <c r="EY39" t="e">
        <f>AND(#REF!,"AAAAAF7be5o=")</f>
        <v>#REF!</v>
      </c>
      <c r="EZ39" t="e">
        <f>AND(#REF!,"AAAAAF7be5s=")</f>
        <v>#REF!</v>
      </c>
      <c r="FA39" t="e">
        <f>AND(#REF!,"AAAAAF7be5w=")</f>
        <v>#REF!</v>
      </c>
      <c r="FB39" t="e">
        <f>AND(#REF!,"AAAAAF7be50=")</f>
        <v>#REF!</v>
      </c>
      <c r="FC39" t="e">
        <f>AND(#REF!,"AAAAAF7be54=")</f>
        <v>#REF!</v>
      </c>
      <c r="FD39" t="e">
        <f>AND(#REF!,"AAAAAF7be58=")</f>
        <v>#REF!</v>
      </c>
      <c r="FE39" t="e">
        <f>AND(#REF!,"AAAAAF7be6A=")</f>
        <v>#REF!</v>
      </c>
      <c r="FF39" t="e">
        <f>AND(#REF!,"AAAAAF7be6E=")</f>
        <v>#REF!</v>
      </c>
      <c r="FG39" t="e">
        <f>AND(#REF!,"AAAAAF7be6I=")</f>
        <v>#REF!</v>
      </c>
      <c r="FH39" t="e">
        <f>IF(#REF!,"AAAAAF7be6M=",0)</f>
        <v>#REF!</v>
      </c>
      <c r="FI39" t="e">
        <f>AND(#REF!,"AAAAAF7be6Q=")</f>
        <v>#REF!</v>
      </c>
      <c r="FJ39" t="e">
        <f>AND(#REF!,"AAAAAF7be6U=")</f>
        <v>#REF!</v>
      </c>
      <c r="FK39" t="e">
        <f>AND(#REF!,"AAAAAF7be6Y=")</f>
        <v>#REF!</v>
      </c>
      <c r="FL39" t="e">
        <f>AND(#REF!,"AAAAAF7be6c=")</f>
        <v>#REF!</v>
      </c>
      <c r="FM39" t="e">
        <f>AND(#REF!,"AAAAAF7be6g=")</f>
        <v>#REF!</v>
      </c>
      <c r="FN39" t="e">
        <f>AND(#REF!,"AAAAAF7be6k=")</f>
        <v>#REF!</v>
      </c>
      <c r="FO39" t="e">
        <f>AND(#REF!,"AAAAAF7be6o=")</f>
        <v>#REF!</v>
      </c>
      <c r="FP39" t="e">
        <f>AND(#REF!,"AAAAAF7be6s=")</f>
        <v>#REF!</v>
      </c>
      <c r="FQ39" t="e">
        <f>AND(#REF!,"AAAAAF7be6w=")</f>
        <v>#REF!</v>
      </c>
      <c r="FR39" t="e">
        <f>AND(#REF!,"AAAAAF7be60=")</f>
        <v>#REF!</v>
      </c>
      <c r="FS39" t="e">
        <f>AND(#REF!,"AAAAAF7be64=")</f>
        <v>#REF!</v>
      </c>
      <c r="FT39" t="e">
        <f>AND(#REF!,"AAAAAF7be68=")</f>
        <v>#REF!</v>
      </c>
      <c r="FU39" t="e">
        <f>AND(#REF!,"AAAAAF7be7A=")</f>
        <v>#REF!</v>
      </c>
      <c r="FV39" t="e">
        <f>IF(#REF!,"AAAAAF7be7E=",0)</f>
        <v>#REF!</v>
      </c>
      <c r="FW39" t="e">
        <f>AND(#REF!,"AAAAAF7be7I=")</f>
        <v>#REF!</v>
      </c>
      <c r="FX39" t="e">
        <f>AND(#REF!,"AAAAAF7be7M=")</f>
        <v>#REF!</v>
      </c>
      <c r="FY39" t="e">
        <f>AND(#REF!,"AAAAAF7be7Q=")</f>
        <v>#REF!</v>
      </c>
      <c r="FZ39" t="e">
        <f>AND(#REF!,"AAAAAF7be7U=")</f>
        <v>#REF!</v>
      </c>
      <c r="GA39" t="e">
        <f>AND(#REF!,"AAAAAF7be7Y=")</f>
        <v>#REF!</v>
      </c>
      <c r="GB39" t="e">
        <f>AND(#REF!,"AAAAAF7be7c=")</f>
        <v>#REF!</v>
      </c>
      <c r="GC39" t="e">
        <f>AND(#REF!,"AAAAAF7be7g=")</f>
        <v>#REF!</v>
      </c>
      <c r="GD39" t="e">
        <f>AND(#REF!,"AAAAAF7be7k=")</f>
        <v>#REF!</v>
      </c>
      <c r="GE39" t="e">
        <f>IF(#REF!,"AAAAAF7be7o=",0)</f>
        <v>#REF!</v>
      </c>
      <c r="GF39" t="e">
        <f>AND(#REF!,"AAAAAF7be7s=")</f>
        <v>#REF!</v>
      </c>
      <c r="GG39" t="e">
        <f>AND(#REF!,"AAAAAF7be7w=")</f>
        <v>#REF!</v>
      </c>
      <c r="GH39" t="e">
        <f>AND(#REF!,"AAAAAF7be70=")</f>
        <v>#REF!</v>
      </c>
      <c r="GI39" t="e">
        <f>AND(#REF!,"AAAAAF7be74=")</f>
        <v>#REF!</v>
      </c>
      <c r="GJ39" t="e">
        <f>AND(#REF!,"AAAAAF7be78=")</f>
        <v>#REF!</v>
      </c>
      <c r="GK39" t="e">
        <f>AND(#REF!,"AAAAAF7be8A=")</f>
        <v>#REF!</v>
      </c>
      <c r="GL39" t="e">
        <f>AND(#REF!,"AAAAAF7be8E=")</f>
        <v>#REF!</v>
      </c>
      <c r="GM39" t="e">
        <f>AND(#REF!,"AAAAAF7be8I=")</f>
        <v>#REF!</v>
      </c>
      <c r="GN39" t="e">
        <f>IF(#REF!,"AAAAAF7be8M=",0)</f>
        <v>#REF!</v>
      </c>
      <c r="GO39" t="e">
        <f>AND(#REF!,"AAAAAF7be8Q=")</f>
        <v>#REF!</v>
      </c>
      <c r="GP39" t="e">
        <f>AND(#REF!,"AAAAAF7be8U=")</f>
        <v>#REF!</v>
      </c>
      <c r="GQ39" t="e">
        <f>AND(#REF!,"AAAAAF7be8Y=")</f>
        <v>#REF!</v>
      </c>
      <c r="GR39" t="e">
        <f>AND(#REF!,"AAAAAF7be8c=")</f>
        <v>#REF!</v>
      </c>
      <c r="GS39" t="e">
        <f>AND(#REF!,"AAAAAF7be8g=")</f>
        <v>#REF!</v>
      </c>
      <c r="GT39" t="e">
        <f>AND(#REF!,"AAAAAF7be8k=")</f>
        <v>#REF!</v>
      </c>
      <c r="GU39" t="e">
        <f>AND(#REF!,"AAAAAF7be8o=")</f>
        <v>#REF!</v>
      </c>
      <c r="GV39" t="e">
        <f>AND(#REF!,"AAAAAF7be8s=")</f>
        <v>#REF!</v>
      </c>
      <c r="GW39" t="e">
        <f>IF(#REF!,"AAAAAF7be8w=",0)</f>
        <v>#REF!</v>
      </c>
      <c r="GX39" t="e">
        <f>AND(#REF!,"AAAAAF7be80=")</f>
        <v>#REF!</v>
      </c>
      <c r="GY39" t="e">
        <f>AND(#REF!,"AAAAAF7be84=")</f>
        <v>#REF!</v>
      </c>
      <c r="GZ39" t="e">
        <f>AND(#REF!,"AAAAAF7be88=")</f>
        <v>#REF!</v>
      </c>
      <c r="HA39" t="e">
        <f>AND(#REF!,"AAAAAF7be9A=")</f>
        <v>#REF!</v>
      </c>
      <c r="HB39" t="e">
        <f>AND(#REF!,"AAAAAF7be9E=")</f>
        <v>#REF!</v>
      </c>
      <c r="HC39" t="e">
        <f>AND(#REF!,"AAAAAF7be9I=")</f>
        <v>#REF!</v>
      </c>
      <c r="HD39" t="e">
        <f>AND(#REF!,"AAAAAF7be9M=")</f>
        <v>#REF!</v>
      </c>
      <c r="HE39" t="e">
        <f>AND(#REF!,"AAAAAF7be9Q=")</f>
        <v>#REF!</v>
      </c>
      <c r="HF39" t="e">
        <f>IF(#REF!,"AAAAAF7be9U=",0)</f>
        <v>#REF!</v>
      </c>
      <c r="HG39" t="e">
        <f>AND(#REF!,"AAAAAF7be9Y=")</f>
        <v>#REF!</v>
      </c>
      <c r="HH39" t="e">
        <f>AND(#REF!,"AAAAAF7be9c=")</f>
        <v>#REF!</v>
      </c>
      <c r="HI39" t="e">
        <f>AND(#REF!,"AAAAAF7be9g=")</f>
        <v>#REF!</v>
      </c>
      <c r="HJ39" t="e">
        <f>AND(#REF!,"AAAAAF7be9k=")</f>
        <v>#REF!</v>
      </c>
      <c r="HK39" t="e">
        <f>AND(#REF!,"AAAAAF7be9o=")</f>
        <v>#REF!</v>
      </c>
      <c r="HL39" t="e">
        <f>AND(#REF!,"AAAAAF7be9s=")</f>
        <v>#REF!</v>
      </c>
      <c r="HM39" t="e">
        <f>AND(#REF!,"AAAAAF7be9w=")</f>
        <v>#REF!</v>
      </c>
      <c r="HN39" t="e">
        <f>AND(#REF!,"AAAAAF7be90=")</f>
        <v>#REF!</v>
      </c>
      <c r="HO39" t="e">
        <f>IF(#REF!,"AAAAAF7be94=",0)</f>
        <v>#REF!</v>
      </c>
      <c r="HP39" t="e">
        <f>AND(#REF!,"AAAAAF7be98=")</f>
        <v>#REF!</v>
      </c>
      <c r="HQ39" t="e">
        <f>AND(#REF!,"AAAAAF7be+A=")</f>
        <v>#REF!</v>
      </c>
      <c r="HR39" t="e">
        <f>AND(#REF!,"AAAAAF7be+E=")</f>
        <v>#REF!</v>
      </c>
      <c r="HS39" t="e">
        <f>AND(#REF!,"AAAAAF7be+I=")</f>
        <v>#REF!</v>
      </c>
      <c r="HT39" t="e">
        <f>AND(#REF!,"AAAAAF7be+M=")</f>
        <v>#REF!</v>
      </c>
      <c r="HU39" t="e">
        <f>AND(#REF!,"AAAAAF7be+Q=")</f>
        <v>#REF!</v>
      </c>
      <c r="HV39" t="e">
        <f>AND(#REF!,"AAAAAF7be+U=")</f>
        <v>#REF!</v>
      </c>
      <c r="HW39" t="e">
        <f>AND(#REF!,"AAAAAF7be+Y=")</f>
        <v>#REF!</v>
      </c>
      <c r="HX39" t="e">
        <f>IF(#REF!,"AAAAAF7be+c=",0)</f>
        <v>#REF!</v>
      </c>
      <c r="HY39" t="e">
        <f>AND(#REF!,"AAAAAF7be+g=")</f>
        <v>#REF!</v>
      </c>
      <c r="HZ39" t="e">
        <f>AND(#REF!,"AAAAAF7be+k=")</f>
        <v>#REF!</v>
      </c>
      <c r="IA39" t="e">
        <f>AND(#REF!,"AAAAAF7be+o=")</f>
        <v>#REF!</v>
      </c>
      <c r="IB39" t="e">
        <f>AND(#REF!,"AAAAAF7be+s=")</f>
        <v>#REF!</v>
      </c>
      <c r="IC39" t="e">
        <f>AND(#REF!,"AAAAAF7be+w=")</f>
        <v>#REF!</v>
      </c>
      <c r="ID39" t="e">
        <f>AND(#REF!,"AAAAAF7be+0=")</f>
        <v>#REF!</v>
      </c>
      <c r="IE39" t="e">
        <f>AND(#REF!,"AAAAAF7be+4=")</f>
        <v>#REF!</v>
      </c>
      <c r="IF39" t="e">
        <f>AND(#REF!,"AAAAAF7be+8=")</f>
        <v>#REF!</v>
      </c>
      <c r="IG39" t="e">
        <f>IF(#REF!,"AAAAAF7be/A=",0)</f>
        <v>#REF!</v>
      </c>
      <c r="IH39" t="e">
        <f>AND(#REF!,"AAAAAF7be/E=")</f>
        <v>#REF!</v>
      </c>
      <c r="II39" t="e">
        <f>AND(#REF!,"AAAAAF7be/I=")</f>
        <v>#REF!</v>
      </c>
      <c r="IJ39" t="e">
        <f>AND(#REF!,"AAAAAF7be/M=")</f>
        <v>#REF!</v>
      </c>
      <c r="IK39" t="e">
        <f>AND(#REF!,"AAAAAF7be/Q=")</f>
        <v>#REF!</v>
      </c>
      <c r="IL39" t="e">
        <f>AND(#REF!,"AAAAAF7be/U=")</f>
        <v>#REF!</v>
      </c>
      <c r="IM39" t="e">
        <f>AND(#REF!,"AAAAAF7be/Y=")</f>
        <v>#REF!</v>
      </c>
      <c r="IN39" t="e">
        <f>AND(#REF!,"AAAAAF7be/c=")</f>
        <v>#REF!</v>
      </c>
      <c r="IO39" t="e">
        <f>AND(#REF!,"AAAAAF7be/g=")</f>
        <v>#REF!</v>
      </c>
      <c r="IP39" t="e">
        <f>IF(#REF!,"AAAAAF7be/k=",0)</f>
        <v>#REF!</v>
      </c>
      <c r="IQ39" t="e">
        <f>AND(#REF!,"AAAAAF7be/o=")</f>
        <v>#REF!</v>
      </c>
      <c r="IR39" t="e">
        <f>AND(#REF!,"AAAAAF7be/s=")</f>
        <v>#REF!</v>
      </c>
      <c r="IS39" t="e">
        <f>AND(#REF!,"AAAAAF7be/w=")</f>
        <v>#REF!</v>
      </c>
      <c r="IT39" t="e">
        <f>AND(#REF!,"AAAAAF7be/0=")</f>
        <v>#REF!</v>
      </c>
      <c r="IU39" t="e">
        <f>AND(#REF!,"AAAAAF7be/4=")</f>
        <v>#REF!</v>
      </c>
      <c r="IV39" t="e">
        <f>AND(#REF!,"AAAAAF7be/8=")</f>
        <v>#REF!</v>
      </c>
    </row>
    <row r="40" spans="1:256" x14ac:dyDescent="0.2">
      <c r="A40" t="e">
        <f>AND(#REF!,"AAAAACe/1gA=")</f>
        <v>#REF!</v>
      </c>
      <c r="B40" t="e">
        <f>AND(#REF!,"AAAAACe/1gE=")</f>
        <v>#REF!</v>
      </c>
      <c r="C40" t="e">
        <f>IF(#REF!,"AAAAACe/1gI=",0)</f>
        <v>#REF!</v>
      </c>
      <c r="D40" t="e">
        <f>AND(#REF!,"AAAAACe/1gM=")</f>
        <v>#REF!</v>
      </c>
      <c r="E40" t="e">
        <f>AND(#REF!,"AAAAACe/1gQ=")</f>
        <v>#REF!</v>
      </c>
      <c r="F40" t="e">
        <f>AND(#REF!,"AAAAACe/1gU=")</f>
        <v>#REF!</v>
      </c>
      <c r="G40" t="e">
        <f>AND(#REF!,"AAAAACe/1gY=")</f>
        <v>#REF!</v>
      </c>
      <c r="H40" t="e">
        <f>AND(#REF!,"AAAAACe/1gc=")</f>
        <v>#REF!</v>
      </c>
      <c r="I40" t="e">
        <f>AND(#REF!,"AAAAACe/1gg=")</f>
        <v>#REF!</v>
      </c>
      <c r="J40" t="e">
        <f>AND(#REF!,"AAAAACe/1gk=")</f>
        <v>#REF!</v>
      </c>
      <c r="K40" t="e">
        <f>AND(#REF!,"AAAAACe/1go=")</f>
        <v>#REF!</v>
      </c>
      <c r="L40" t="e">
        <f>IF(#REF!,"AAAAACe/1gs=",0)</f>
        <v>#REF!</v>
      </c>
      <c r="M40" t="e">
        <f>AND(#REF!,"AAAAACe/1gw=")</f>
        <v>#REF!</v>
      </c>
      <c r="N40" t="e">
        <f>AND(#REF!,"AAAAACe/1g0=")</f>
        <v>#REF!</v>
      </c>
      <c r="O40" t="e">
        <f>AND(#REF!,"AAAAACe/1g4=")</f>
        <v>#REF!</v>
      </c>
      <c r="P40" t="e">
        <f>AND(#REF!,"AAAAACe/1g8=")</f>
        <v>#REF!</v>
      </c>
      <c r="Q40" t="e">
        <f>AND(#REF!,"AAAAACe/1hA=")</f>
        <v>#REF!</v>
      </c>
      <c r="R40" t="e">
        <f>AND(#REF!,"AAAAACe/1hE=")</f>
        <v>#REF!</v>
      </c>
      <c r="S40" t="e">
        <f>AND(#REF!,"AAAAACe/1hI=")</f>
        <v>#REF!</v>
      </c>
      <c r="T40" t="e">
        <f>AND(#REF!,"AAAAACe/1hM=")</f>
        <v>#REF!</v>
      </c>
      <c r="U40" t="e">
        <f>IF(#REF!,"AAAAACe/1hQ=",0)</f>
        <v>#REF!</v>
      </c>
      <c r="V40" t="e">
        <f>AND(#REF!,"AAAAACe/1hU=")</f>
        <v>#REF!</v>
      </c>
      <c r="W40" t="e">
        <f>AND(#REF!,"AAAAACe/1hY=")</f>
        <v>#REF!</v>
      </c>
      <c r="X40" t="e">
        <f>AND(#REF!,"AAAAACe/1hc=")</f>
        <v>#REF!</v>
      </c>
      <c r="Y40" t="e">
        <f>AND(#REF!,"AAAAACe/1hg=")</f>
        <v>#REF!</v>
      </c>
      <c r="Z40" t="e">
        <f>AND(#REF!,"AAAAACe/1hk=")</f>
        <v>#REF!</v>
      </c>
      <c r="AA40" t="e">
        <f>AND(#REF!,"AAAAACe/1ho=")</f>
        <v>#REF!</v>
      </c>
      <c r="AB40" t="e">
        <f>AND(#REF!,"AAAAACe/1hs=")</f>
        <v>#REF!</v>
      </c>
      <c r="AC40" t="e">
        <f>AND(#REF!,"AAAAACe/1hw=")</f>
        <v>#REF!</v>
      </c>
      <c r="AD40" t="e">
        <f>IF(#REF!,"AAAAACe/1h0=",0)</f>
        <v>#REF!</v>
      </c>
      <c r="AE40" t="e">
        <f>AND(#REF!,"AAAAACe/1h4=")</f>
        <v>#REF!</v>
      </c>
      <c r="AF40" t="e">
        <f>AND(#REF!,"AAAAACe/1h8=")</f>
        <v>#REF!</v>
      </c>
      <c r="AG40" t="e">
        <f>AND(#REF!,"AAAAACe/1iA=")</f>
        <v>#REF!</v>
      </c>
      <c r="AH40" t="e">
        <f>AND(#REF!,"AAAAACe/1iE=")</f>
        <v>#REF!</v>
      </c>
      <c r="AI40" t="e">
        <f>AND(#REF!,"AAAAACe/1iI=")</f>
        <v>#REF!</v>
      </c>
      <c r="AJ40" t="e">
        <f>AND(#REF!,"AAAAACe/1iM=")</f>
        <v>#REF!</v>
      </c>
      <c r="AK40" t="e">
        <f>AND(#REF!,"AAAAACe/1iQ=")</f>
        <v>#REF!</v>
      </c>
      <c r="AL40" t="e">
        <f>AND(#REF!,"AAAAACe/1iU=")</f>
        <v>#REF!</v>
      </c>
      <c r="AM40" t="e">
        <f>IF(#REF!,"AAAAACe/1iY=",0)</f>
        <v>#REF!</v>
      </c>
      <c r="AN40" t="e">
        <f>AND(#REF!,"AAAAACe/1ic=")</f>
        <v>#REF!</v>
      </c>
      <c r="AO40" t="e">
        <f>AND(#REF!,"AAAAACe/1ig=")</f>
        <v>#REF!</v>
      </c>
      <c r="AP40" t="e">
        <f>AND(#REF!,"AAAAACe/1ik=")</f>
        <v>#REF!</v>
      </c>
      <c r="AQ40" t="e">
        <f>AND(#REF!,"AAAAACe/1io=")</f>
        <v>#REF!</v>
      </c>
      <c r="AR40" t="e">
        <f>AND(#REF!,"AAAAACe/1is=")</f>
        <v>#REF!</v>
      </c>
      <c r="AS40" t="e">
        <f>AND(#REF!,"AAAAACe/1iw=")</f>
        <v>#REF!</v>
      </c>
      <c r="AT40" t="e">
        <f>AND(#REF!,"AAAAACe/1i0=")</f>
        <v>#REF!</v>
      </c>
      <c r="AU40" t="e">
        <f>AND(#REF!,"AAAAACe/1i4=")</f>
        <v>#REF!</v>
      </c>
      <c r="AV40" t="e">
        <f>IF(#REF!,"AAAAACe/1i8=",0)</f>
        <v>#REF!</v>
      </c>
      <c r="AW40" t="e">
        <f>AND(#REF!,"AAAAACe/1jA=")</f>
        <v>#REF!</v>
      </c>
      <c r="AX40" t="e">
        <f>AND(#REF!,"AAAAACe/1jE=")</f>
        <v>#REF!</v>
      </c>
      <c r="AY40" t="e">
        <f>AND(#REF!,"AAAAACe/1jI=")</f>
        <v>#REF!</v>
      </c>
      <c r="AZ40" t="e">
        <f>AND(#REF!,"AAAAACe/1jM=")</f>
        <v>#REF!</v>
      </c>
      <c r="BA40" t="e">
        <f>AND(#REF!,"AAAAACe/1jQ=")</f>
        <v>#REF!</v>
      </c>
      <c r="BB40" t="e">
        <f>AND(#REF!,"AAAAACe/1jU=")</f>
        <v>#REF!</v>
      </c>
      <c r="BC40" t="e">
        <f>AND(#REF!,"AAAAACe/1jY=")</f>
        <v>#REF!</v>
      </c>
      <c r="BD40" t="e">
        <f>AND(#REF!,"AAAAACe/1jc=")</f>
        <v>#REF!</v>
      </c>
      <c r="BE40" t="e">
        <f>IF(#REF!,"AAAAACe/1jg=",0)</f>
        <v>#REF!</v>
      </c>
      <c r="BF40" t="e">
        <f>AND(#REF!,"AAAAACe/1jk=")</f>
        <v>#REF!</v>
      </c>
      <c r="BG40" t="e">
        <f>AND(#REF!,"AAAAACe/1jo=")</f>
        <v>#REF!</v>
      </c>
      <c r="BH40" t="e">
        <f>AND(#REF!,"AAAAACe/1js=")</f>
        <v>#REF!</v>
      </c>
      <c r="BI40" t="e">
        <f>AND(#REF!,"AAAAACe/1jw=")</f>
        <v>#REF!</v>
      </c>
      <c r="BJ40" t="e">
        <f>AND(#REF!,"AAAAACe/1j0=")</f>
        <v>#REF!</v>
      </c>
      <c r="BK40" t="e">
        <f>AND(#REF!,"AAAAACe/1j4=")</f>
        <v>#REF!</v>
      </c>
      <c r="BL40" t="e">
        <f>AND(#REF!,"AAAAACe/1j8=")</f>
        <v>#REF!</v>
      </c>
      <c r="BM40" t="e">
        <f>AND(#REF!,"AAAAACe/1kA=")</f>
        <v>#REF!</v>
      </c>
      <c r="BN40" t="e">
        <f>IF(#REF!,"AAAAACe/1kE=",0)</f>
        <v>#REF!</v>
      </c>
      <c r="BO40" t="e">
        <f>AND(#REF!,"AAAAACe/1kI=")</f>
        <v>#REF!</v>
      </c>
      <c r="BP40" t="e">
        <f>AND(#REF!,"AAAAACe/1kM=")</f>
        <v>#REF!</v>
      </c>
      <c r="BQ40" t="e">
        <f>AND(#REF!,"AAAAACe/1kQ=")</f>
        <v>#REF!</v>
      </c>
      <c r="BR40" t="e">
        <f>AND(#REF!,"AAAAACe/1kU=")</f>
        <v>#REF!</v>
      </c>
      <c r="BS40" t="e">
        <f>AND(#REF!,"AAAAACe/1kY=")</f>
        <v>#REF!</v>
      </c>
      <c r="BT40" t="e">
        <f>AND(#REF!,"AAAAACe/1kc=")</f>
        <v>#REF!</v>
      </c>
      <c r="BU40" t="e">
        <f>AND(#REF!,"AAAAACe/1kg=")</f>
        <v>#REF!</v>
      </c>
      <c r="BV40" t="e">
        <f>AND(#REF!,"AAAAACe/1kk=")</f>
        <v>#REF!</v>
      </c>
      <c r="BW40" t="e">
        <f>IF(#REF!,"AAAAACe/1ko=",0)</f>
        <v>#REF!</v>
      </c>
      <c r="BX40" t="e">
        <f>AND(#REF!,"AAAAACe/1ks=")</f>
        <v>#REF!</v>
      </c>
      <c r="BY40" t="e">
        <f>AND(#REF!,"AAAAACe/1kw=")</f>
        <v>#REF!</v>
      </c>
      <c r="BZ40" t="e">
        <f>AND(#REF!,"AAAAACe/1k0=")</f>
        <v>#REF!</v>
      </c>
      <c r="CA40" t="e">
        <f>AND(#REF!,"AAAAACe/1k4=")</f>
        <v>#REF!</v>
      </c>
      <c r="CB40" t="e">
        <f>AND(#REF!,"AAAAACe/1k8=")</f>
        <v>#REF!</v>
      </c>
      <c r="CC40" t="e">
        <f>AND(#REF!,"AAAAACe/1lA=")</f>
        <v>#REF!</v>
      </c>
      <c r="CD40" t="e">
        <f>AND(#REF!,"AAAAACe/1lE=")</f>
        <v>#REF!</v>
      </c>
      <c r="CE40" t="e">
        <f>AND(#REF!,"AAAAACe/1lI=")</f>
        <v>#REF!</v>
      </c>
      <c r="CF40" t="e">
        <f>IF(#REF!,"AAAAACe/1lM=",0)</f>
        <v>#REF!</v>
      </c>
      <c r="CG40" t="e">
        <f>AND(#REF!,"AAAAACe/1lQ=")</f>
        <v>#REF!</v>
      </c>
      <c r="CH40" t="e">
        <f>AND(#REF!,"AAAAACe/1lU=")</f>
        <v>#REF!</v>
      </c>
      <c r="CI40" t="e">
        <f>AND(#REF!,"AAAAACe/1lY=")</f>
        <v>#REF!</v>
      </c>
      <c r="CJ40" t="e">
        <f>AND(#REF!,"AAAAACe/1lc=")</f>
        <v>#REF!</v>
      </c>
      <c r="CK40" t="e">
        <f>AND(#REF!,"AAAAACe/1lg=")</f>
        <v>#REF!</v>
      </c>
      <c r="CL40" t="e">
        <f>AND(#REF!,"AAAAACe/1lk=")</f>
        <v>#REF!</v>
      </c>
      <c r="CM40" t="e">
        <f>AND(#REF!,"AAAAACe/1lo=")</f>
        <v>#REF!</v>
      </c>
      <c r="CN40" t="e">
        <f>AND(#REF!,"AAAAACe/1ls=")</f>
        <v>#REF!</v>
      </c>
      <c r="CO40" t="e">
        <f>IF(#REF!,"AAAAACe/1lw=",0)</f>
        <v>#REF!</v>
      </c>
      <c r="CP40" t="e">
        <f>AND(#REF!,"AAAAACe/1l0=")</f>
        <v>#REF!</v>
      </c>
      <c r="CQ40" t="e">
        <f>AND(#REF!,"AAAAACe/1l4=")</f>
        <v>#REF!</v>
      </c>
      <c r="CR40" t="e">
        <f>AND(#REF!,"AAAAACe/1l8=")</f>
        <v>#REF!</v>
      </c>
      <c r="CS40" t="e">
        <f>AND(#REF!,"AAAAACe/1mA=")</f>
        <v>#REF!</v>
      </c>
      <c r="CT40" t="e">
        <f>AND(#REF!,"AAAAACe/1mE=")</f>
        <v>#REF!</v>
      </c>
      <c r="CU40" t="e">
        <f>AND(#REF!,"AAAAACe/1mI=")</f>
        <v>#REF!</v>
      </c>
      <c r="CV40" t="e">
        <f>AND(#REF!,"AAAAACe/1mM=")</f>
        <v>#REF!</v>
      </c>
      <c r="CW40" t="e">
        <f>AND(#REF!,"AAAAACe/1mQ=")</f>
        <v>#REF!</v>
      </c>
      <c r="CX40" t="e">
        <f>IF(#REF!,"AAAAACe/1mU=",0)</f>
        <v>#REF!</v>
      </c>
      <c r="CY40" t="e">
        <f>AND(#REF!,"AAAAACe/1mY=")</f>
        <v>#REF!</v>
      </c>
      <c r="CZ40" t="e">
        <f>AND(#REF!,"AAAAACe/1mc=")</f>
        <v>#REF!</v>
      </c>
      <c r="DA40" t="e">
        <f>AND(#REF!,"AAAAACe/1mg=")</f>
        <v>#REF!</v>
      </c>
      <c r="DB40" t="e">
        <f>AND(#REF!,"AAAAACe/1mk=")</f>
        <v>#REF!</v>
      </c>
      <c r="DC40" t="e">
        <f>AND(#REF!,"AAAAACe/1mo=")</f>
        <v>#REF!</v>
      </c>
      <c r="DD40" t="e">
        <f>AND(#REF!,"AAAAACe/1ms=")</f>
        <v>#REF!</v>
      </c>
      <c r="DE40" t="e">
        <f>AND(#REF!,"AAAAACe/1mw=")</f>
        <v>#REF!</v>
      </c>
      <c r="DF40" t="e">
        <f>AND(#REF!,"AAAAACe/1m0=")</f>
        <v>#REF!</v>
      </c>
      <c r="DG40" t="e">
        <f>IF(#REF!,"AAAAACe/1m4=",0)</f>
        <v>#REF!</v>
      </c>
      <c r="DH40" t="e">
        <f>AND(#REF!,"AAAAACe/1m8=")</f>
        <v>#REF!</v>
      </c>
      <c r="DI40" t="e">
        <f>AND(#REF!,"AAAAACe/1nA=")</f>
        <v>#REF!</v>
      </c>
      <c r="DJ40" t="e">
        <f>AND(#REF!,"AAAAACe/1nE=")</f>
        <v>#REF!</v>
      </c>
      <c r="DK40" t="e">
        <f>AND(#REF!,"AAAAACe/1nI=")</f>
        <v>#REF!</v>
      </c>
      <c r="DL40" t="e">
        <f>AND(#REF!,"AAAAACe/1nM=")</f>
        <v>#REF!</v>
      </c>
      <c r="DM40" t="e">
        <f>AND(#REF!,"AAAAACe/1nQ=")</f>
        <v>#REF!</v>
      </c>
      <c r="DN40" t="e">
        <f>AND(#REF!,"AAAAACe/1nU=")</f>
        <v>#REF!</v>
      </c>
      <c r="DO40" t="e">
        <f>AND(#REF!,"AAAAACe/1nY=")</f>
        <v>#REF!</v>
      </c>
      <c r="DP40" t="e">
        <f>IF(#REF!,"AAAAACe/1nc=",0)</f>
        <v>#REF!</v>
      </c>
      <c r="DQ40" t="e">
        <f>AND(#REF!,"AAAAACe/1ng=")</f>
        <v>#REF!</v>
      </c>
      <c r="DR40" t="e">
        <f>AND(#REF!,"AAAAACe/1nk=")</f>
        <v>#REF!</v>
      </c>
      <c r="DS40" t="e">
        <f>AND(#REF!,"AAAAACe/1no=")</f>
        <v>#REF!</v>
      </c>
      <c r="DT40" t="e">
        <f>AND(#REF!,"AAAAACe/1ns=")</f>
        <v>#REF!</v>
      </c>
      <c r="DU40" t="e">
        <f>AND(#REF!,"AAAAACe/1nw=")</f>
        <v>#REF!</v>
      </c>
      <c r="DV40" t="e">
        <f>AND(#REF!,"AAAAACe/1n0=")</f>
        <v>#REF!</v>
      </c>
      <c r="DW40" t="e">
        <f>AND(#REF!,"AAAAACe/1n4=")</f>
        <v>#REF!</v>
      </c>
      <c r="DX40" t="e">
        <f>AND(#REF!,"AAAAACe/1n8=")</f>
        <v>#REF!</v>
      </c>
      <c r="DY40" t="e">
        <f>IF(#REF!,"AAAAACe/1oA=",0)</f>
        <v>#REF!</v>
      </c>
      <c r="DZ40" t="e">
        <f>AND(#REF!,"AAAAACe/1oE=")</f>
        <v>#REF!</v>
      </c>
      <c r="EA40" t="e">
        <f>AND(#REF!,"AAAAACe/1oI=")</f>
        <v>#REF!</v>
      </c>
      <c r="EB40" t="e">
        <f>AND(#REF!,"AAAAACe/1oM=")</f>
        <v>#REF!</v>
      </c>
      <c r="EC40" t="e">
        <f>AND(#REF!,"AAAAACe/1oQ=")</f>
        <v>#REF!</v>
      </c>
      <c r="ED40" t="e">
        <f>AND(#REF!,"AAAAACe/1oU=")</f>
        <v>#REF!</v>
      </c>
      <c r="EE40" t="e">
        <f>AND(#REF!,"AAAAACe/1oY=")</f>
        <v>#REF!</v>
      </c>
      <c r="EF40" t="e">
        <f>AND(#REF!,"AAAAACe/1oc=")</f>
        <v>#REF!</v>
      </c>
      <c r="EG40" t="e">
        <f>AND(#REF!,"AAAAACe/1og=")</f>
        <v>#REF!</v>
      </c>
      <c r="EH40" t="e">
        <f>IF(#REF!,"AAAAACe/1ok=",0)</f>
        <v>#REF!</v>
      </c>
      <c r="EI40" t="e">
        <f>AND(#REF!,"AAAAACe/1oo=")</f>
        <v>#REF!</v>
      </c>
      <c r="EJ40" t="e">
        <f>AND(#REF!,"AAAAACe/1os=")</f>
        <v>#REF!</v>
      </c>
      <c r="EK40" t="e">
        <f>AND(#REF!,"AAAAACe/1ow=")</f>
        <v>#REF!</v>
      </c>
      <c r="EL40" t="e">
        <f>AND(#REF!,"AAAAACe/1o0=")</f>
        <v>#REF!</v>
      </c>
      <c r="EM40" t="e">
        <f>AND(#REF!,"AAAAACe/1o4=")</f>
        <v>#REF!</v>
      </c>
      <c r="EN40" t="e">
        <f>AND(#REF!,"AAAAACe/1o8=")</f>
        <v>#REF!</v>
      </c>
      <c r="EO40" t="e">
        <f>AND(#REF!,"AAAAACe/1pA=")</f>
        <v>#REF!</v>
      </c>
      <c r="EP40" t="e">
        <f>AND(#REF!,"AAAAACe/1pE=")</f>
        <v>#REF!</v>
      </c>
      <c r="EQ40" t="e">
        <f>IF(#REF!,"AAAAACe/1pI=",0)</f>
        <v>#REF!</v>
      </c>
      <c r="ER40" t="e">
        <f>AND(#REF!,"AAAAACe/1pM=")</f>
        <v>#REF!</v>
      </c>
      <c r="ES40" t="e">
        <f>AND(#REF!,"AAAAACe/1pQ=")</f>
        <v>#REF!</v>
      </c>
      <c r="ET40" t="e">
        <f>AND(#REF!,"AAAAACe/1pU=")</f>
        <v>#REF!</v>
      </c>
      <c r="EU40" t="e">
        <f>AND(#REF!,"AAAAACe/1pY=")</f>
        <v>#REF!</v>
      </c>
      <c r="EV40" t="e">
        <f>AND(#REF!,"AAAAACe/1pc=")</f>
        <v>#REF!</v>
      </c>
      <c r="EW40" t="e">
        <f>AND(#REF!,"AAAAACe/1pg=")</f>
        <v>#REF!</v>
      </c>
      <c r="EX40" t="e">
        <f>AND(#REF!,"AAAAACe/1pk=")</f>
        <v>#REF!</v>
      </c>
      <c r="EY40" t="e">
        <f>AND(#REF!,"AAAAACe/1po=")</f>
        <v>#REF!</v>
      </c>
      <c r="EZ40" t="e">
        <f>IF(#REF!,"AAAAACe/1ps=",0)</f>
        <v>#REF!</v>
      </c>
      <c r="FA40" t="e">
        <f>AND(#REF!,"AAAAACe/1pw=")</f>
        <v>#REF!</v>
      </c>
      <c r="FB40" t="e">
        <f>AND(#REF!,"AAAAACe/1p0=")</f>
        <v>#REF!</v>
      </c>
      <c r="FC40" t="e">
        <f>AND(#REF!,"AAAAACe/1p4=")</f>
        <v>#REF!</v>
      </c>
      <c r="FD40" t="e">
        <f>AND(#REF!,"AAAAACe/1p8=")</f>
        <v>#REF!</v>
      </c>
      <c r="FE40" t="e">
        <f>AND(#REF!,"AAAAACe/1qA=")</f>
        <v>#REF!</v>
      </c>
      <c r="FF40" t="e">
        <f>AND(#REF!,"AAAAACe/1qE=")</f>
        <v>#REF!</v>
      </c>
      <c r="FG40" t="e">
        <f>AND(#REF!,"AAAAACe/1qI=")</f>
        <v>#REF!</v>
      </c>
      <c r="FH40" t="e">
        <f>AND(#REF!,"AAAAACe/1qM=")</f>
        <v>#REF!</v>
      </c>
      <c r="FI40" t="e">
        <f>IF(#REF!,"AAAAACe/1qQ=",0)</f>
        <v>#REF!</v>
      </c>
      <c r="FJ40" t="e">
        <f>AND(#REF!,"AAAAACe/1qU=")</f>
        <v>#REF!</v>
      </c>
      <c r="FK40" t="e">
        <f>AND(#REF!,"AAAAACe/1qY=")</f>
        <v>#REF!</v>
      </c>
      <c r="FL40" t="e">
        <f>AND(#REF!,"AAAAACe/1qc=")</f>
        <v>#REF!</v>
      </c>
      <c r="FM40" t="e">
        <f>AND(#REF!,"AAAAACe/1qg=")</f>
        <v>#REF!</v>
      </c>
      <c r="FN40" t="e">
        <f>AND(#REF!,"AAAAACe/1qk=")</f>
        <v>#REF!</v>
      </c>
      <c r="FO40" t="e">
        <f>AND(#REF!,"AAAAACe/1qo=")</f>
        <v>#REF!</v>
      </c>
      <c r="FP40" t="e">
        <f>AND(#REF!,"AAAAACe/1qs=")</f>
        <v>#REF!</v>
      </c>
      <c r="FQ40" t="e">
        <f>AND(#REF!,"AAAAACe/1qw=")</f>
        <v>#REF!</v>
      </c>
      <c r="FR40" t="e">
        <f>IF(#REF!,"AAAAACe/1q0=",0)</f>
        <v>#REF!</v>
      </c>
      <c r="FS40" t="e">
        <f>AND(#REF!,"AAAAACe/1q4=")</f>
        <v>#REF!</v>
      </c>
      <c r="FT40" t="e">
        <f>AND(#REF!,"AAAAACe/1q8=")</f>
        <v>#REF!</v>
      </c>
      <c r="FU40" t="e">
        <f>AND(#REF!,"AAAAACe/1rA=")</f>
        <v>#REF!</v>
      </c>
      <c r="FV40" t="e">
        <f>AND(#REF!,"AAAAACe/1rE=")</f>
        <v>#REF!</v>
      </c>
      <c r="FW40" t="e">
        <f>AND(#REF!,"AAAAACe/1rI=")</f>
        <v>#REF!</v>
      </c>
      <c r="FX40" t="e">
        <f>AND(#REF!,"AAAAACe/1rM=")</f>
        <v>#REF!</v>
      </c>
      <c r="FY40" t="e">
        <f>AND(#REF!,"AAAAACe/1rQ=")</f>
        <v>#REF!</v>
      </c>
      <c r="FZ40" t="e">
        <f>AND(#REF!,"AAAAACe/1rU=")</f>
        <v>#REF!</v>
      </c>
      <c r="GA40" t="e">
        <f>IF(#REF!,"AAAAACe/1rY=",0)</f>
        <v>#REF!</v>
      </c>
      <c r="GB40" t="e">
        <f>AND(#REF!,"AAAAACe/1rc=")</f>
        <v>#REF!</v>
      </c>
      <c r="GC40" t="e">
        <f>AND(#REF!,"AAAAACe/1rg=")</f>
        <v>#REF!</v>
      </c>
      <c r="GD40" t="e">
        <f>AND(#REF!,"AAAAACe/1rk=")</f>
        <v>#REF!</v>
      </c>
      <c r="GE40" t="e">
        <f>AND(#REF!,"AAAAACe/1ro=")</f>
        <v>#REF!</v>
      </c>
      <c r="GF40" t="e">
        <f>AND(#REF!,"AAAAACe/1rs=")</f>
        <v>#REF!</v>
      </c>
      <c r="GG40" t="e">
        <f>AND(#REF!,"AAAAACe/1rw=")</f>
        <v>#REF!</v>
      </c>
      <c r="GH40" t="e">
        <f>AND(#REF!,"AAAAACe/1r0=")</f>
        <v>#REF!</v>
      </c>
      <c r="GI40" t="e">
        <f>AND(#REF!,"AAAAACe/1r4=")</f>
        <v>#REF!</v>
      </c>
      <c r="GJ40" t="e">
        <f>IF(#REF!,"AAAAACe/1r8=",0)</f>
        <v>#REF!</v>
      </c>
      <c r="GK40" t="e">
        <f>AND(#REF!,"AAAAACe/1sA=")</f>
        <v>#REF!</v>
      </c>
      <c r="GL40" t="e">
        <f>AND(#REF!,"AAAAACe/1sE=")</f>
        <v>#REF!</v>
      </c>
      <c r="GM40" t="e">
        <f>AND(#REF!,"AAAAACe/1sI=")</f>
        <v>#REF!</v>
      </c>
      <c r="GN40" t="e">
        <f>AND(#REF!,"AAAAACe/1sM=")</f>
        <v>#REF!</v>
      </c>
      <c r="GO40" t="e">
        <f>AND(#REF!,"AAAAACe/1sQ=")</f>
        <v>#REF!</v>
      </c>
      <c r="GP40" t="e">
        <f>AND(#REF!,"AAAAACe/1sU=")</f>
        <v>#REF!</v>
      </c>
      <c r="GQ40" t="e">
        <f>AND(#REF!,"AAAAACe/1sY=")</f>
        <v>#REF!</v>
      </c>
      <c r="GR40" t="e">
        <f>AND(#REF!,"AAAAACe/1sc=")</f>
        <v>#REF!</v>
      </c>
      <c r="GS40" t="e">
        <f>IF(#REF!,"AAAAACe/1sg=",0)</f>
        <v>#REF!</v>
      </c>
      <c r="GT40" t="e">
        <f>IF(#REF!,"AAAAACe/1sk=",0)</f>
        <v>#REF!</v>
      </c>
      <c r="GU40" t="e">
        <f>IF(#REF!,"AAAAACe/1so=",0)</f>
        <v>#REF!</v>
      </c>
      <c r="GV40" t="e">
        <f>IF(#REF!,"AAAAACe/1ss=",0)</f>
        <v>#REF!</v>
      </c>
      <c r="GW40" t="e">
        <f>IF(#REF!,"AAAAACe/1sw=",0)</f>
        <v>#REF!</v>
      </c>
      <c r="GX40" t="e">
        <f>IF(#REF!,"AAAAACe/1s0=",0)</f>
        <v>#REF!</v>
      </c>
      <c r="GY40" t="e">
        <f>IF(#REF!,"AAAAACe/1s4=",0)</f>
        <v>#REF!</v>
      </c>
      <c r="GZ40" t="e">
        <f>IF(#REF!,"AAAAACe/1s8=",0)</f>
        <v>#REF!</v>
      </c>
      <c r="HA40" t="e">
        <f>IF(#REF!,"AAAAACe/1tA=",0)</f>
        <v>#REF!</v>
      </c>
      <c r="HB40" t="e">
        <f>IF(#REF!,"AAAAACe/1tE=",0)</f>
        <v>#REF!</v>
      </c>
      <c r="HC40" t="e">
        <f>IF(#REF!,"AAAAACe/1tI=",0)</f>
        <v>#REF!</v>
      </c>
      <c r="HD40" t="e">
        <f>IF(#REF!,"AAAAACe/1tM=",0)</f>
        <v>#REF!</v>
      </c>
      <c r="HE40" t="e">
        <f>IF(#REF!,"AAAAACe/1tQ=",0)</f>
        <v>#REF!</v>
      </c>
      <c r="HF40" t="e">
        <f>IF(#REF!,"AAAAACe/1tU=",0)</f>
        <v>#REF!</v>
      </c>
      <c r="HG40" t="e">
        <f>AND(#REF!,"AAAAACe/1tY=")</f>
        <v>#REF!</v>
      </c>
      <c r="HH40" t="e">
        <f>AND(#REF!,"AAAAACe/1tc=")</f>
        <v>#REF!</v>
      </c>
      <c r="HI40" t="e">
        <f>AND(#REF!,"AAAAACe/1tg=")</f>
        <v>#REF!</v>
      </c>
      <c r="HJ40" t="e">
        <f>AND(#REF!,"AAAAACe/1tk=")</f>
        <v>#REF!</v>
      </c>
      <c r="HK40" t="e">
        <f>AND(#REF!,"AAAAACe/1to=")</f>
        <v>#REF!</v>
      </c>
      <c r="HL40" t="e">
        <f>AND(#REF!,"AAAAACe/1ts=")</f>
        <v>#REF!</v>
      </c>
      <c r="HM40" t="e">
        <f>AND(#REF!,"AAAAACe/1tw=")</f>
        <v>#REF!</v>
      </c>
      <c r="HN40" t="e">
        <f>AND(#REF!,"AAAAACe/1t0=")</f>
        <v>#REF!</v>
      </c>
      <c r="HO40" t="e">
        <f>AND(#REF!,"AAAAACe/1t4=")</f>
        <v>#REF!</v>
      </c>
      <c r="HP40" t="e">
        <f>AND(#REF!,"AAAAACe/1t8=")</f>
        <v>#REF!</v>
      </c>
      <c r="HQ40" t="e">
        <f>AND(#REF!,"AAAAACe/1uA=")</f>
        <v>#REF!</v>
      </c>
      <c r="HR40" t="e">
        <f>AND(#REF!,"AAAAACe/1uE=")</f>
        <v>#REF!</v>
      </c>
      <c r="HS40" t="e">
        <f>AND(#REF!,"AAAAACe/1uI=")</f>
        <v>#REF!</v>
      </c>
      <c r="HT40" t="e">
        <f>IF(#REF!,"AAAAACe/1uM=",0)</f>
        <v>#REF!</v>
      </c>
      <c r="HU40" t="e">
        <f>AND(#REF!,"AAAAACe/1uQ=")</f>
        <v>#REF!</v>
      </c>
      <c r="HV40" t="e">
        <f>AND(#REF!,"AAAAACe/1uU=")</f>
        <v>#REF!</v>
      </c>
      <c r="HW40" t="e">
        <f>AND(#REF!,"AAAAACe/1uY=")</f>
        <v>#REF!</v>
      </c>
      <c r="HX40" t="e">
        <f>AND(#REF!,"AAAAACe/1uc=")</f>
        <v>#REF!</v>
      </c>
      <c r="HY40" t="e">
        <f>AND(#REF!,"AAAAACe/1ug=")</f>
        <v>#REF!</v>
      </c>
      <c r="HZ40" t="e">
        <f>AND(#REF!,"AAAAACe/1uk=")</f>
        <v>#REF!</v>
      </c>
      <c r="IA40" t="e">
        <f>AND(#REF!,"AAAAACe/1uo=")</f>
        <v>#REF!</v>
      </c>
      <c r="IB40" t="e">
        <f>AND(#REF!,"AAAAACe/1us=")</f>
        <v>#REF!</v>
      </c>
      <c r="IC40" t="e">
        <f>AND(#REF!,"AAAAACe/1uw=")</f>
        <v>#REF!</v>
      </c>
      <c r="ID40" t="e">
        <f>AND(#REF!,"AAAAACe/1u0=")</f>
        <v>#REF!</v>
      </c>
      <c r="IE40" t="e">
        <f>AND(#REF!,"AAAAACe/1u4=")</f>
        <v>#REF!</v>
      </c>
      <c r="IF40" t="e">
        <f>AND(#REF!,"AAAAACe/1u8=")</f>
        <v>#REF!</v>
      </c>
      <c r="IG40" t="e">
        <f>AND(#REF!,"AAAAACe/1vA=")</f>
        <v>#REF!</v>
      </c>
      <c r="IH40" t="e">
        <f>IF(#REF!,"AAAAACe/1vE=",0)</f>
        <v>#REF!</v>
      </c>
      <c r="II40" t="e">
        <f>AND(#REF!,"AAAAACe/1vI=")</f>
        <v>#REF!</v>
      </c>
      <c r="IJ40" t="e">
        <f>AND(#REF!,"AAAAACe/1vM=")</f>
        <v>#REF!</v>
      </c>
      <c r="IK40" t="e">
        <f>AND(#REF!,"AAAAACe/1vQ=")</f>
        <v>#REF!</v>
      </c>
      <c r="IL40" t="e">
        <f>AND(#REF!,"AAAAACe/1vU=")</f>
        <v>#REF!</v>
      </c>
      <c r="IM40" t="e">
        <f>AND(#REF!,"AAAAACe/1vY=")</f>
        <v>#REF!</v>
      </c>
      <c r="IN40" t="e">
        <f>AND(#REF!,"AAAAACe/1vc=")</f>
        <v>#REF!</v>
      </c>
      <c r="IO40" t="e">
        <f>AND(#REF!,"AAAAACe/1vg=")</f>
        <v>#REF!</v>
      </c>
      <c r="IP40" t="e">
        <f>AND(#REF!,"AAAAACe/1vk=")</f>
        <v>#REF!</v>
      </c>
      <c r="IQ40" t="e">
        <f>AND(#REF!,"AAAAACe/1vo=")</f>
        <v>#REF!</v>
      </c>
      <c r="IR40" t="e">
        <f>AND(#REF!,"AAAAACe/1vs=")</f>
        <v>#REF!</v>
      </c>
      <c r="IS40" t="e">
        <f>AND(#REF!,"AAAAACe/1vw=")</f>
        <v>#REF!</v>
      </c>
      <c r="IT40" t="e">
        <f>AND(#REF!,"AAAAACe/1v0=")</f>
        <v>#REF!</v>
      </c>
      <c r="IU40" t="e">
        <f>AND(#REF!,"AAAAACe/1v4=")</f>
        <v>#REF!</v>
      </c>
      <c r="IV40" t="e">
        <f>IF(#REF!,"AAAAACe/1v8=",0)</f>
        <v>#REF!</v>
      </c>
    </row>
    <row r="41" spans="1:256" x14ac:dyDescent="0.2">
      <c r="A41" t="e">
        <f>AND(#REF!,"AAAAAH/nogA=")</f>
        <v>#REF!</v>
      </c>
      <c r="B41" t="e">
        <f>AND(#REF!,"AAAAAH/nogE=")</f>
        <v>#REF!</v>
      </c>
      <c r="C41" t="e">
        <f>AND(#REF!,"AAAAAH/nogI=")</f>
        <v>#REF!</v>
      </c>
      <c r="D41" t="e">
        <f>AND(#REF!,"AAAAAH/nogM=")</f>
        <v>#REF!</v>
      </c>
      <c r="E41" t="e">
        <f>AND(#REF!,"AAAAAH/nogQ=")</f>
        <v>#REF!</v>
      </c>
      <c r="F41" t="e">
        <f>AND(#REF!,"AAAAAH/nogU=")</f>
        <v>#REF!</v>
      </c>
      <c r="G41" t="e">
        <f>AND(#REF!,"AAAAAH/nogY=")</f>
        <v>#REF!</v>
      </c>
      <c r="H41" t="e">
        <f>AND(#REF!,"AAAAAH/nogc=")</f>
        <v>#REF!</v>
      </c>
      <c r="I41" t="e">
        <f>AND(#REF!,"AAAAAH/nogg=")</f>
        <v>#REF!</v>
      </c>
      <c r="J41" t="e">
        <f>AND(#REF!,"AAAAAH/nogk=")</f>
        <v>#REF!</v>
      </c>
      <c r="K41" t="e">
        <f>AND(#REF!,"AAAAAH/nogo=")</f>
        <v>#REF!</v>
      </c>
      <c r="L41" t="e">
        <f>AND(#REF!,"AAAAAH/nogs=")</f>
        <v>#REF!</v>
      </c>
      <c r="M41" t="e">
        <f>AND(#REF!,"AAAAAH/nogw=")</f>
        <v>#REF!</v>
      </c>
      <c r="N41" t="e">
        <f>IF(#REF!,"AAAAAH/nog0=",0)</f>
        <v>#REF!</v>
      </c>
      <c r="O41" t="e">
        <f>AND(#REF!,"AAAAAH/nog4=")</f>
        <v>#REF!</v>
      </c>
      <c r="P41" t="e">
        <f>AND(#REF!,"AAAAAH/nog8=")</f>
        <v>#REF!</v>
      </c>
      <c r="Q41" t="e">
        <f>AND(#REF!,"AAAAAH/nohA=")</f>
        <v>#REF!</v>
      </c>
      <c r="R41" t="e">
        <f>AND(#REF!,"AAAAAH/nohE=")</f>
        <v>#REF!</v>
      </c>
      <c r="S41" t="e">
        <f>AND(#REF!,"AAAAAH/nohI=")</f>
        <v>#REF!</v>
      </c>
      <c r="T41" t="e">
        <f>AND(#REF!,"AAAAAH/nohM=")</f>
        <v>#REF!</v>
      </c>
      <c r="U41" t="e">
        <f>AND(#REF!,"AAAAAH/nohQ=")</f>
        <v>#REF!</v>
      </c>
      <c r="V41" t="e">
        <f>AND(#REF!,"AAAAAH/nohU=")</f>
        <v>#REF!</v>
      </c>
      <c r="W41" t="e">
        <f>AND(#REF!,"AAAAAH/nohY=")</f>
        <v>#REF!</v>
      </c>
      <c r="X41" t="e">
        <f>AND(#REF!,"AAAAAH/nohc=")</f>
        <v>#REF!</v>
      </c>
      <c r="Y41" t="e">
        <f>AND(#REF!,"AAAAAH/nohg=")</f>
        <v>#REF!</v>
      </c>
      <c r="Z41" t="e">
        <f>AND(#REF!,"AAAAAH/nohk=")</f>
        <v>#REF!</v>
      </c>
      <c r="AA41" t="e">
        <f>AND(#REF!,"AAAAAH/noho=")</f>
        <v>#REF!</v>
      </c>
      <c r="AB41" t="e">
        <f>IF(#REF!,"AAAAAH/nohs=",0)</f>
        <v>#REF!</v>
      </c>
      <c r="AC41" t="e">
        <f>AND(#REF!,"AAAAAH/nohw=")</f>
        <v>#REF!</v>
      </c>
      <c r="AD41" t="e">
        <f>AND(#REF!,"AAAAAH/noh0=")</f>
        <v>#REF!</v>
      </c>
      <c r="AE41" t="e">
        <f>AND(#REF!,"AAAAAH/noh4=")</f>
        <v>#REF!</v>
      </c>
      <c r="AF41" t="e">
        <f>AND(#REF!,"AAAAAH/noh8=")</f>
        <v>#REF!</v>
      </c>
      <c r="AG41" t="e">
        <f>AND(#REF!,"AAAAAH/noiA=")</f>
        <v>#REF!</v>
      </c>
      <c r="AH41" t="e">
        <f>AND(#REF!,"AAAAAH/noiE=")</f>
        <v>#REF!</v>
      </c>
      <c r="AI41" t="e">
        <f>AND(#REF!,"AAAAAH/noiI=")</f>
        <v>#REF!</v>
      </c>
      <c r="AJ41" t="e">
        <f>AND(#REF!,"AAAAAH/noiM=")</f>
        <v>#REF!</v>
      </c>
      <c r="AK41" t="e">
        <f>AND(#REF!,"AAAAAH/noiQ=")</f>
        <v>#REF!</v>
      </c>
      <c r="AL41" t="e">
        <f>AND(#REF!,"AAAAAH/noiU=")</f>
        <v>#REF!</v>
      </c>
      <c r="AM41" t="e">
        <f>AND(#REF!,"AAAAAH/noiY=")</f>
        <v>#REF!</v>
      </c>
      <c r="AN41" t="e">
        <f>AND(#REF!,"AAAAAH/noic=")</f>
        <v>#REF!</v>
      </c>
      <c r="AO41" t="e">
        <f>AND(#REF!,"AAAAAH/noig=")</f>
        <v>#REF!</v>
      </c>
      <c r="AP41" t="e">
        <f>IF(#REF!,"AAAAAH/noik=",0)</f>
        <v>#REF!</v>
      </c>
      <c r="AQ41" t="e">
        <f>AND(#REF!,"AAAAAH/noio=")</f>
        <v>#REF!</v>
      </c>
      <c r="AR41" t="e">
        <f>AND(#REF!,"AAAAAH/nois=")</f>
        <v>#REF!</v>
      </c>
      <c r="AS41" t="e">
        <f>AND(#REF!,"AAAAAH/noiw=")</f>
        <v>#REF!</v>
      </c>
      <c r="AT41" t="e">
        <f>AND(#REF!,"AAAAAH/noi0=")</f>
        <v>#REF!</v>
      </c>
      <c r="AU41" t="e">
        <f>AND(#REF!,"AAAAAH/noi4=")</f>
        <v>#REF!</v>
      </c>
      <c r="AV41" t="e">
        <f>AND(#REF!,"AAAAAH/noi8=")</f>
        <v>#REF!</v>
      </c>
      <c r="AW41" t="e">
        <f>AND(#REF!,"AAAAAH/nojA=")</f>
        <v>#REF!</v>
      </c>
      <c r="AX41" t="e">
        <f>AND(#REF!,"AAAAAH/nojE=")</f>
        <v>#REF!</v>
      </c>
      <c r="AY41" t="e">
        <f>AND(#REF!,"AAAAAH/nojI=")</f>
        <v>#REF!</v>
      </c>
      <c r="AZ41" t="e">
        <f>AND(#REF!,"AAAAAH/nojM=")</f>
        <v>#REF!</v>
      </c>
      <c r="BA41" t="e">
        <f>AND(#REF!,"AAAAAH/nojQ=")</f>
        <v>#REF!</v>
      </c>
      <c r="BB41" t="e">
        <f>AND(#REF!,"AAAAAH/nojU=")</f>
        <v>#REF!</v>
      </c>
      <c r="BC41" t="e">
        <f>AND(#REF!,"AAAAAH/nojY=")</f>
        <v>#REF!</v>
      </c>
      <c r="BD41" t="e">
        <f>IF(#REF!,"AAAAAH/nojc=",0)</f>
        <v>#REF!</v>
      </c>
      <c r="BE41" t="e">
        <f>AND(#REF!,"AAAAAH/nojg=")</f>
        <v>#REF!</v>
      </c>
      <c r="BF41" t="e">
        <f>AND(#REF!,"AAAAAH/nojk=")</f>
        <v>#REF!</v>
      </c>
      <c r="BG41" t="e">
        <f>AND(#REF!,"AAAAAH/nojo=")</f>
        <v>#REF!</v>
      </c>
      <c r="BH41" t="e">
        <f>AND(#REF!,"AAAAAH/nojs=")</f>
        <v>#REF!</v>
      </c>
      <c r="BI41" t="e">
        <f>AND(#REF!,"AAAAAH/nojw=")</f>
        <v>#REF!</v>
      </c>
      <c r="BJ41" t="e">
        <f>AND(#REF!,"AAAAAH/noj0=")</f>
        <v>#REF!</v>
      </c>
      <c r="BK41" t="e">
        <f>AND(#REF!,"AAAAAH/noj4=")</f>
        <v>#REF!</v>
      </c>
      <c r="BL41" t="e">
        <f>AND(#REF!,"AAAAAH/noj8=")</f>
        <v>#REF!</v>
      </c>
      <c r="BM41" t="e">
        <f>AND(#REF!,"AAAAAH/nokA=")</f>
        <v>#REF!</v>
      </c>
      <c r="BN41" t="e">
        <f>AND(#REF!,"AAAAAH/nokE=")</f>
        <v>#REF!</v>
      </c>
      <c r="BO41" t="e">
        <f>AND(#REF!,"AAAAAH/nokI=")</f>
        <v>#REF!</v>
      </c>
      <c r="BP41" t="e">
        <f>AND(#REF!,"AAAAAH/nokM=")</f>
        <v>#REF!</v>
      </c>
      <c r="BQ41" t="e">
        <f>AND(#REF!,"AAAAAH/nokQ=")</f>
        <v>#REF!</v>
      </c>
      <c r="BR41" t="e">
        <f>IF(#REF!,"AAAAAH/nokU=",0)</f>
        <v>#REF!</v>
      </c>
      <c r="BS41" t="e">
        <f>AND(#REF!,"AAAAAH/nokY=")</f>
        <v>#REF!</v>
      </c>
      <c r="BT41" t="e">
        <f>AND(#REF!,"AAAAAH/nokc=")</f>
        <v>#REF!</v>
      </c>
      <c r="BU41" t="e">
        <f>AND(#REF!,"AAAAAH/nokg=")</f>
        <v>#REF!</v>
      </c>
      <c r="BV41" t="e">
        <f>AND(#REF!,"AAAAAH/nokk=")</f>
        <v>#REF!</v>
      </c>
      <c r="BW41" t="e">
        <f>AND(#REF!,"AAAAAH/noko=")</f>
        <v>#REF!</v>
      </c>
      <c r="BX41" t="e">
        <f>AND(#REF!,"AAAAAH/noks=")</f>
        <v>#REF!</v>
      </c>
      <c r="BY41" t="e">
        <f>AND(#REF!,"AAAAAH/nokw=")</f>
        <v>#REF!</v>
      </c>
      <c r="BZ41" t="e">
        <f>AND(#REF!,"AAAAAH/nok0=")</f>
        <v>#REF!</v>
      </c>
      <c r="CA41" t="e">
        <f>AND(#REF!,"AAAAAH/nok4=")</f>
        <v>#REF!</v>
      </c>
      <c r="CB41" t="e">
        <f>AND(#REF!,"AAAAAH/nok8=")</f>
        <v>#REF!</v>
      </c>
      <c r="CC41" t="e">
        <f>AND(#REF!,"AAAAAH/nolA=")</f>
        <v>#REF!</v>
      </c>
      <c r="CD41" t="e">
        <f>AND(#REF!,"AAAAAH/nolE=")</f>
        <v>#REF!</v>
      </c>
      <c r="CE41" t="e">
        <f>AND(#REF!,"AAAAAH/nolI=")</f>
        <v>#REF!</v>
      </c>
      <c r="CF41" t="e">
        <f>IF(#REF!,"AAAAAH/nolM=",0)</f>
        <v>#REF!</v>
      </c>
      <c r="CG41" t="e">
        <f>AND(#REF!,"AAAAAH/nolQ=")</f>
        <v>#REF!</v>
      </c>
      <c r="CH41" t="e">
        <f>AND(#REF!,"AAAAAH/nolU=")</f>
        <v>#REF!</v>
      </c>
      <c r="CI41" t="e">
        <f>AND(#REF!,"AAAAAH/nolY=")</f>
        <v>#REF!</v>
      </c>
      <c r="CJ41" t="e">
        <f>AND(#REF!,"AAAAAH/nolc=")</f>
        <v>#REF!</v>
      </c>
      <c r="CK41" t="e">
        <f>AND(#REF!,"AAAAAH/nolg=")</f>
        <v>#REF!</v>
      </c>
      <c r="CL41" t="e">
        <f>AND(#REF!,"AAAAAH/nolk=")</f>
        <v>#REF!</v>
      </c>
      <c r="CM41" t="e">
        <f>AND(#REF!,"AAAAAH/nolo=")</f>
        <v>#REF!</v>
      </c>
      <c r="CN41" t="e">
        <f>AND(#REF!,"AAAAAH/nols=")</f>
        <v>#REF!</v>
      </c>
      <c r="CO41" t="e">
        <f>AND(#REF!,"AAAAAH/nolw=")</f>
        <v>#REF!</v>
      </c>
      <c r="CP41" t="e">
        <f>AND(#REF!,"AAAAAH/nol0=")</f>
        <v>#REF!</v>
      </c>
      <c r="CQ41" t="e">
        <f>AND(#REF!,"AAAAAH/nol4=")</f>
        <v>#REF!</v>
      </c>
      <c r="CR41" t="e">
        <f>AND(#REF!,"AAAAAH/nol8=")</f>
        <v>#REF!</v>
      </c>
      <c r="CS41" t="e">
        <f>AND(#REF!,"AAAAAH/nomA=")</f>
        <v>#REF!</v>
      </c>
      <c r="CT41" t="e">
        <f>IF(#REF!,"AAAAAH/nomE=",0)</f>
        <v>#REF!</v>
      </c>
      <c r="CU41" t="e">
        <f>AND(#REF!,"AAAAAH/nomI=")</f>
        <v>#REF!</v>
      </c>
      <c r="CV41" t="e">
        <f>AND(#REF!,"AAAAAH/nomM=")</f>
        <v>#REF!</v>
      </c>
      <c r="CW41" t="e">
        <f>AND(#REF!,"AAAAAH/nomQ=")</f>
        <v>#REF!</v>
      </c>
      <c r="CX41" t="e">
        <f>AND(#REF!,"AAAAAH/nomU=")</f>
        <v>#REF!</v>
      </c>
      <c r="CY41" t="e">
        <f>AND(#REF!,"AAAAAH/nomY=")</f>
        <v>#REF!</v>
      </c>
      <c r="CZ41" t="e">
        <f>AND(#REF!,"AAAAAH/nomc=")</f>
        <v>#REF!</v>
      </c>
      <c r="DA41" t="e">
        <f>AND(#REF!,"AAAAAH/nomg=")</f>
        <v>#REF!</v>
      </c>
      <c r="DB41" t="e">
        <f>AND(#REF!,"AAAAAH/nomk=")</f>
        <v>#REF!</v>
      </c>
      <c r="DC41" t="e">
        <f>AND(#REF!,"AAAAAH/nomo=")</f>
        <v>#REF!</v>
      </c>
      <c r="DD41" t="e">
        <f>AND(#REF!,"AAAAAH/noms=")</f>
        <v>#REF!</v>
      </c>
      <c r="DE41" t="e">
        <f>AND(#REF!,"AAAAAH/nomw=")</f>
        <v>#REF!</v>
      </c>
      <c r="DF41" t="e">
        <f>AND(#REF!,"AAAAAH/nom0=")</f>
        <v>#REF!</v>
      </c>
      <c r="DG41" t="e">
        <f>AND(#REF!,"AAAAAH/nom4=")</f>
        <v>#REF!</v>
      </c>
      <c r="DH41" t="e">
        <f>IF(#REF!,"AAAAAH/nom8=",0)</f>
        <v>#REF!</v>
      </c>
      <c r="DI41" t="e">
        <f>AND(#REF!,"AAAAAH/nonA=")</f>
        <v>#REF!</v>
      </c>
      <c r="DJ41" t="e">
        <f>AND(#REF!,"AAAAAH/nonE=")</f>
        <v>#REF!</v>
      </c>
      <c r="DK41" t="e">
        <f>AND(#REF!,"AAAAAH/nonI=")</f>
        <v>#REF!</v>
      </c>
      <c r="DL41" t="e">
        <f>AND(#REF!,"AAAAAH/nonM=")</f>
        <v>#REF!</v>
      </c>
      <c r="DM41" t="e">
        <f>AND(#REF!,"AAAAAH/nonQ=")</f>
        <v>#REF!</v>
      </c>
      <c r="DN41" t="e">
        <f>AND(#REF!,"AAAAAH/nonU=")</f>
        <v>#REF!</v>
      </c>
      <c r="DO41" t="e">
        <f>AND(#REF!,"AAAAAH/nonY=")</f>
        <v>#REF!</v>
      </c>
      <c r="DP41" t="e">
        <f>AND(#REF!,"AAAAAH/nonc=")</f>
        <v>#REF!</v>
      </c>
      <c r="DQ41" t="e">
        <f>AND(#REF!,"AAAAAH/nong=")</f>
        <v>#REF!</v>
      </c>
      <c r="DR41" t="e">
        <f>AND(#REF!,"AAAAAH/nonk=")</f>
        <v>#REF!</v>
      </c>
      <c r="DS41" t="e">
        <f>AND(#REF!,"AAAAAH/nono=")</f>
        <v>#REF!</v>
      </c>
      <c r="DT41" t="e">
        <f>AND(#REF!,"AAAAAH/nons=")</f>
        <v>#REF!</v>
      </c>
      <c r="DU41" t="e">
        <f>AND(#REF!,"AAAAAH/nonw=")</f>
        <v>#REF!</v>
      </c>
      <c r="DV41" t="e">
        <f>IF(#REF!,"AAAAAH/non0=",0)</f>
        <v>#REF!</v>
      </c>
      <c r="DW41" t="e">
        <f>AND(#REF!,"AAAAAH/non4=")</f>
        <v>#REF!</v>
      </c>
      <c r="DX41" t="e">
        <f>AND(#REF!,"AAAAAH/non8=")</f>
        <v>#REF!</v>
      </c>
      <c r="DY41" t="e">
        <f>AND(#REF!,"AAAAAH/nooA=")</f>
        <v>#REF!</v>
      </c>
      <c r="DZ41" t="e">
        <f>AND(#REF!,"AAAAAH/nooE=")</f>
        <v>#REF!</v>
      </c>
      <c r="EA41" t="e">
        <f>AND(#REF!,"AAAAAH/nooI=")</f>
        <v>#REF!</v>
      </c>
      <c r="EB41" t="e">
        <f>AND(#REF!,"AAAAAH/nooM=")</f>
        <v>#REF!</v>
      </c>
      <c r="EC41" t="e">
        <f>AND(#REF!,"AAAAAH/nooQ=")</f>
        <v>#REF!</v>
      </c>
      <c r="ED41" t="e">
        <f>AND(#REF!,"AAAAAH/nooU=")</f>
        <v>#REF!</v>
      </c>
      <c r="EE41" t="e">
        <f>AND(#REF!,"AAAAAH/nooY=")</f>
        <v>#REF!</v>
      </c>
      <c r="EF41" t="e">
        <f>AND(#REF!,"AAAAAH/nooc=")</f>
        <v>#REF!</v>
      </c>
      <c r="EG41" t="e">
        <f>AND(#REF!,"AAAAAH/noog=")</f>
        <v>#REF!</v>
      </c>
      <c r="EH41" t="e">
        <f>AND(#REF!,"AAAAAH/nook=")</f>
        <v>#REF!</v>
      </c>
      <c r="EI41" t="e">
        <f>AND(#REF!,"AAAAAH/nooo=")</f>
        <v>#REF!</v>
      </c>
      <c r="EJ41" t="e">
        <f>IF(#REF!,"AAAAAH/noos=",0)</f>
        <v>#REF!</v>
      </c>
      <c r="EK41" t="e">
        <f>AND(#REF!,"AAAAAH/noow=")</f>
        <v>#REF!</v>
      </c>
      <c r="EL41" t="e">
        <f>AND(#REF!,"AAAAAH/noo0=")</f>
        <v>#REF!</v>
      </c>
      <c r="EM41" t="e">
        <f>AND(#REF!,"AAAAAH/noo4=")</f>
        <v>#REF!</v>
      </c>
      <c r="EN41" t="e">
        <f>AND(#REF!,"AAAAAH/noo8=")</f>
        <v>#REF!</v>
      </c>
      <c r="EO41" t="e">
        <f>AND(#REF!,"AAAAAH/nopA=")</f>
        <v>#REF!</v>
      </c>
      <c r="EP41" t="e">
        <f>AND(#REF!,"AAAAAH/nopE=")</f>
        <v>#REF!</v>
      </c>
      <c r="EQ41" t="e">
        <f>AND(#REF!,"AAAAAH/nopI=")</f>
        <v>#REF!</v>
      </c>
      <c r="ER41" t="e">
        <f>AND(#REF!,"AAAAAH/nopM=")</f>
        <v>#REF!</v>
      </c>
      <c r="ES41" t="e">
        <f>AND(#REF!,"AAAAAH/nopQ=")</f>
        <v>#REF!</v>
      </c>
      <c r="ET41" t="e">
        <f>AND(#REF!,"AAAAAH/nopU=")</f>
        <v>#REF!</v>
      </c>
      <c r="EU41" t="e">
        <f>AND(#REF!,"AAAAAH/nopY=")</f>
        <v>#REF!</v>
      </c>
      <c r="EV41" t="e">
        <f>AND(#REF!,"AAAAAH/nopc=")</f>
        <v>#REF!</v>
      </c>
      <c r="EW41" t="e">
        <f>AND(#REF!,"AAAAAH/nopg=")</f>
        <v>#REF!</v>
      </c>
      <c r="EX41" t="e">
        <f>IF(#REF!,"AAAAAH/nopk=",0)</f>
        <v>#REF!</v>
      </c>
      <c r="EY41" t="e">
        <f>AND(#REF!,"AAAAAH/nopo=")</f>
        <v>#REF!</v>
      </c>
      <c r="EZ41" t="e">
        <f>AND(#REF!,"AAAAAH/nops=")</f>
        <v>#REF!</v>
      </c>
      <c r="FA41" t="e">
        <f>AND(#REF!,"AAAAAH/nopw=")</f>
        <v>#REF!</v>
      </c>
      <c r="FB41" t="e">
        <f>AND(#REF!,"AAAAAH/nop0=")</f>
        <v>#REF!</v>
      </c>
      <c r="FC41" t="e">
        <f>AND(#REF!,"AAAAAH/nop4=")</f>
        <v>#REF!</v>
      </c>
      <c r="FD41" t="e">
        <f>AND(#REF!,"AAAAAH/nop8=")</f>
        <v>#REF!</v>
      </c>
      <c r="FE41" t="e">
        <f>AND(#REF!,"AAAAAH/noqA=")</f>
        <v>#REF!</v>
      </c>
      <c r="FF41" t="e">
        <f>AND(#REF!,"AAAAAH/noqE=")</f>
        <v>#REF!</v>
      </c>
      <c r="FG41" t="e">
        <f>AND(#REF!,"AAAAAH/noqI=")</f>
        <v>#REF!</v>
      </c>
      <c r="FH41" t="e">
        <f>AND(#REF!,"AAAAAH/noqM=")</f>
        <v>#REF!</v>
      </c>
      <c r="FI41" t="e">
        <f>AND(#REF!,"AAAAAH/noqQ=")</f>
        <v>#REF!</v>
      </c>
      <c r="FJ41" t="e">
        <f>AND(#REF!,"AAAAAH/noqU=")</f>
        <v>#REF!</v>
      </c>
      <c r="FK41" t="e">
        <f>AND(#REF!,"AAAAAH/noqY=")</f>
        <v>#REF!</v>
      </c>
      <c r="FL41" t="e">
        <f>IF(#REF!,"AAAAAH/noqc=",0)</f>
        <v>#REF!</v>
      </c>
      <c r="FM41" t="e">
        <f>AND(#REF!,"AAAAAH/noqg=")</f>
        <v>#REF!</v>
      </c>
      <c r="FN41" t="e">
        <f>AND(#REF!,"AAAAAH/noqk=")</f>
        <v>#REF!</v>
      </c>
      <c r="FO41" t="e">
        <f>AND(#REF!,"AAAAAH/noqo=")</f>
        <v>#REF!</v>
      </c>
      <c r="FP41" t="e">
        <f>AND(#REF!,"AAAAAH/noqs=")</f>
        <v>#REF!</v>
      </c>
      <c r="FQ41" t="e">
        <f>AND(#REF!,"AAAAAH/noqw=")</f>
        <v>#REF!</v>
      </c>
      <c r="FR41" t="e">
        <f>AND(#REF!,"AAAAAH/noq0=")</f>
        <v>#REF!</v>
      </c>
      <c r="FS41" t="e">
        <f>AND(#REF!,"AAAAAH/noq4=")</f>
        <v>#REF!</v>
      </c>
      <c r="FT41" t="e">
        <f>AND(#REF!,"AAAAAH/noq8=")</f>
        <v>#REF!</v>
      </c>
      <c r="FU41" t="e">
        <f>AND(#REF!,"AAAAAH/norA=")</f>
        <v>#REF!</v>
      </c>
      <c r="FV41" t="e">
        <f>AND(#REF!,"AAAAAH/norE=")</f>
        <v>#REF!</v>
      </c>
      <c r="FW41" t="e">
        <f>AND(#REF!,"AAAAAH/norI=")</f>
        <v>#REF!</v>
      </c>
      <c r="FX41" t="e">
        <f>AND(#REF!,"AAAAAH/norM=")</f>
        <v>#REF!</v>
      </c>
      <c r="FY41" t="e">
        <f>AND(#REF!,"AAAAAH/norQ=")</f>
        <v>#REF!</v>
      </c>
      <c r="FZ41" t="e">
        <f>IF(#REF!,"AAAAAH/norU=",0)</f>
        <v>#REF!</v>
      </c>
      <c r="GA41" t="e">
        <f>AND(#REF!,"AAAAAH/norY=")</f>
        <v>#REF!</v>
      </c>
      <c r="GB41" t="e">
        <f>AND(#REF!,"AAAAAH/norc=")</f>
        <v>#REF!</v>
      </c>
      <c r="GC41" t="e">
        <f>AND(#REF!,"AAAAAH/norg=")</f>
        <v>#REF!</v>
      </c>
      <c r="GD41" t="e">
        <f>AND(#REF!,"AAAAAH/nork=")</f>
        <v>#REF!</v>
      </c>
      <c r="GE41" t="e">
        <f>AND(#REF!,"AAAAAH/noro=")</f>
        <v>#REF!</v>
      </c>
      <c r="GF41" t="e">
        <f>AND(#REF!,"AAAAAH/nors=")</f>
        <v>#REF!</v>
      </c>
      <c r="GG41" t="e">
        <f>AND(#REF!,"AAAAAH/norw=")</f>
        <v>#REF!</v>
      </c>
      <c r="GH41" t="e">
        <f>AND(#REF!,"AAAAAH/nor0=")</f>
        <v>#REF!</v>
      </c>
      <c r="GI41" t="e">
        <f>AND(#REF!,"AAAAAH/nor4=")</f>
        <v>#REF!</v>
      </c>
      <c r="GJ41" t="e">
        <f>AND(#REF!,"AAAAAH/nor8=")</f>
        <v>#REF!</v>
      </c>
      <c r="GK41" t="e">
        <f>AND(#REF!,"AAAAAH/nosA=")</f>
        <v>#REF!</v>
      </c>
      <c r="GL41" t="e">
        <f>AND(#REF!,"AAAAAH/nosE=")</f>
        <v>#REF!</v>
      </c>
      <c r="GM41" t="e">
        <f>AND(#REF!,"AAAAAH/nosI=")</f>
        <v>#REF!</v>
      </c>
      <c r="GN41" t="e">
        <f>IF(#REF!,"AAAAAH/nosM=",0)</f>
        <v>#REF!</v>
      </c>
      <c r="GO41" t="e">
        <f>AND(#REF!,"AAAAAH/nosQ=")</f>
        <v>#REF!</v>
      </c>
      <c r="GP41" t="e">
        <f>AND(#REF!,"AAAAAH/nosU=")</f>
        <v>#REF!</v>
      </c>
      <c r="GQ41" t="e">
        <f>AND(#REF!,"AAAAAH/nosY=")</f>
        <v>#REF!</v>
      </c>
      <c r="GR41" t="e">
        <f>AND(#REF!,"AAAAAH/nosc=")</f>
        <v>#REF!</v>
      </c>
      <c r="GS41" t="e">
        <f>AND(#REF!,"AAAAAH/nosg=")</f>
        <v>#REF!</v>
      </c>
      <c r="GT41" t="e">
        <f>AND(#REF!,"AAAAAH/nosk=")</f>
        <v>#REF!</v>
      </c>
      <c r="GU41" t="e">
        <f>AND(#REF!,"AAAAAH/noso=")</f>
        <v>#REF!</v>
      </c>
      <c r="GV41" t="e">
        <f>AND(#REF!,"AAAAAH/noss=")</f>
        <v>#REF!</v>
      </c>
      <c r="GW41" t="e">
        <f>AND(#REF!,"AAAAAH/nosw=")</f>
        <v>#REF!</v>
      </c>
      <c r="GX41" t="e">
        <f>AND(#REF!,"AAAAAH/nos0=")</f>
        <v>#REF!</v>
      </c>
      <c r="GY41" t="e">
        <f>AND(#REF!,"AAAAAH/nos4=")</f>
        <v>#REF!</v>
      </c>
      <c r="GZ41" t="e">
        <f>AND(#REF!,"AAAAAH/nos8=")</f>
        <v>#REF!</v>
      </c>
      <c r="HA41" t="e">
        <f>AND(#REF!,"AAAAAH/notA=")</f>
        <v>#REF!</v>
      </c>
      <c r="HB41" t="e">
        <f>IF(#REF!,"AAAAAH/notE=",0)</f>
        <v>#REF!</v>
      </c>
      <c r="HC41" t="e">
        <f>AND(#REF!,"AAAAAH/notI=")</f>
        <v>#REF!</v>
      </c>
      <c r="HD41" t="e">
        <f>AND(#REF!,"AAAAAH/notM=")</f>
        <v>#REF!</v>
      </c>
      <c r="HE41" t="e">
        <f>AND(#REF!,"AAAAAH/notQ=")</f>
        <v>#REF!</v>
      </c>
      <c r="HF41" t="e">
        <f>AND(#REF!,"AAAAAH/notU=")</f>
        <v>#REF!</v>
      </c>
      <c r="HG41" t="e">
        <f>AND(#REF!,"AAAAAH/notY=")</f>
        <v>#REF!</v>
      </c>
      <c r="HH41" t="e">
        <f>AND(#REF!,"AAAAAH/notc=")</f>
        <v>#REF!</v>
      </c>
      <c r="HI41" t="e">
        <f>AND(#REF!,"AAAAAH/notg=")</f>
        <v>#REF!</v>
      </c>
      <c r="HJ41" t="e">
        <f>AND(#REF!,"AAAAAH/notk=")</f>
        <v>#REF!</v>
      </c>
      <c r="HK41" t="e">
        <f>AND(#REF!,"AAAAAH/noto=")</f>
        <v>#REF!</v>
      </c>
      <c r="HL41" t="e">
        <f>AND(#REF!,"AAAAAH/nots=")</f>
        <v>#REF!</v>
      </c>
      <c r="HM41" t="e">
        <f>AND(#REF!,"AAAAAH/notw=")</f>
        <v>#REF!</v>
      </c>
      <c r="HN41" t="e">
        <f>AND(#REF!,"AAAAAH/not0=")</f>
        <v>#REF!</v>
      </c>
      <c r="HO41" t="e">
        <f>AND(#REF!,"AAAAAH/not4=")</f>
        <v>#REF!</v>
      </c>
      <c r="HP41" t="e">
        <f>IF(#REF!,"AAAAAH/not8=",0)</f>
        <v>#REF!</v>
      </c>
      <c r="HQ41" t="e">
        <f>AND(#REF!,"AAAAAH/nouA=")</f>
        <v>#REF!</v>
      </c>
      <c r="HR41" t="e">
        <f>AND(#REF!,"AAAAAH/nouE=")</f>
        <v>#REF!</v>
      </c>
      <c r="HS41" t="e">
        <f>AND(#REF!,"AAAAAH/nouI=")</f>
        <v>#REF!</v>
      </c>
      <c r="HT41" t="e">
        <f>AND(#REF!,"AAAAAH/nouM=")</f>
        <v>#REF!</v>
      </c>
      <c r="HU41" t="e">
        <f>AND(#REF!,"AAAAAH/nouQ=")</f>
        <v>#REF!</v>
      </c>
      <c r="HV41" t="e">
        <f>AND(#REF!,"AAAAAH/nouU=")</f>
        <v>#REF!</v>
      </c>
      <c r="HW41" t="e">
        <f>AND(#REF!,"AAAAAH/nouY=")</f>
        <v>#REF!</v>
      </c>
      <c r="HX41" t="e">
        <f>AND(#REF!,"AAAAAH/nouc=")</f>
        <v>#REF!</v>
      </c>
      <c r="HY41" t="e">
        <f>AND(#REF!,"AAAAAH/noug=")</f>
        <v>#REF!</v>
      </c>
      <c r="HZ41" t="e">
        <f>AND(#REF!,"AAAAAH/nouk=")</f>
        <v>#REF!</v>
      </c>
      <c r="IA41" t="e">
        <f>AND(#REF!,"AAAAAH/nouo=")</f>
        <v>#REF!</v>
      </c>
      <c r="IB41" t="e">
        <f>AND(#REF!,"AAAAAH/nous=")</f>
        <v>#REF!</v>
      </c>
      <c r="IC41" t="e">
        <f>AND(#REF!,"AAAAAH/nouw=")</f>
        <v>#REF!</v>
      </c>
      <c r="ID41" t="e">
        <f>IF(#REF!,"AAAAAH/nou0=",0)</f>
        <v>#REF!</v>
      </c>
      <c r="IE41" t="e">
        <f>AND(#REF!,"AAAAAH/nou4=")</f>
        <v>#REF!</v>
      </c>
      <c r="IF41" t="e">
        <f>AND(#REF!,"AAAAAH/nou8=")</f>
        <v>#REF!</v>
      </c>
      <c r="IG41" t="e">
        <f>AND(#REF!,"AAAAAH/novA=")</f>
        <v>#REF!</v>
      </c>
      <c r="IH41" t="e">
        <f>AND(#REF!,"AAAAAH/novE=")</f>
        <v>#REF!</v>
      </c>
      <c r="II41" t="e">
        <f>AND(#REF!,"AAAAAH/novI=")</f>
        <v>#REF!</v>
      </c>
      <c r="IJ41" t="e">
        <f>AND(#REF!,"AAAAAH/novM=")</f>
        <v>#REF!</v>
      </c>
      <c r="IK41" t="e">
        <f>AND(#REF!,"AAAAAH/novQ=")</f>
        <v>#REF!</v>
      </c>
      <c r="IL41" t="e">
        <f>AND(#REF!,"AAAAAH/novU=")</f>
        <v>#REF!</v>
      </c>
      <c r="IM41" t="e">
        <f>AND(#REF!,"AAAAAH/novY=")</f>
        <v>#REF!</v>
      </c>
      <c r="IN41" t="e">
        <f>AND(#REF!,"AAAAAH/novc=")</f>
        <v>#REF!</v>
      </c>
      <c r="IO41" t="e">
        <f>AND(#REF!,"AAAAAH/novg=")</f>
        <v>#REF!</v>
      </c>
      <c r="IP41" t="e">
        <f>AND(#REF!,"AAAAAH/novk=")</f>
        <v>#REF!</v>
      </c>
      <c r="IQ41" t="e">
        <f>AND(#REF!,"AAAAAH/novo=")</f>
        <v>#REF!</v>
      </c>
      <c r="IR41" t="e">
        <f>IF(#REF!,"AAAAAH/novs=",0)</f>
        <v>#REF!</v>
      </c>
      <c r="IS41" t="e">
        <f>AND(#REF!,"AAAAAH/novw=")</f>
        <v>#REF!</v>
      </c>
      <c r="IT41" t="e">
        <f>AND(#REF!,"AAAAAH/nov0=")</f>
        <v>#REF!</v>
      </c>
      <c r="IU41" t="e">
        <f>AND(#REF!,"AAAAAH/nov4=")</f>
        <v>#REF!</v>
      </c>
      <c r="IV41" t="e">
        <f>AND(#REF!,"AAAAAH/nov8=")</f>
        <v>#REF!</v>
      </c>
    </row>
    <row r="42" spans="1:256" x14ac:dyDescent="0.2">
      <c r="A42" t="e">
        <f>AND(#REF!,"AAAAAG3TqwA=")</f>
        <v>#REF!</v>
      </c>
      <c r="B42" t="e">
        <f>AND(#REF!,"AAAAAG3TqwE=")</f>
        <v>#REF!</v>
      </c>
      <c r="C42" t="e">
        <f>AND(#REF!,"AAAAAG3TqwI=")</f>
        <v>#REF!</v>
      </c>
      <c r="D42" t="e">
        <f>AND(#REF!,"AAAAAG3TqwM=")</f>
        <v>#REF!</v>
      </c>
      <c r="E42" t="e">
        <f>AND(#REF!,"AAAAAG3TqwQ=")</f>
        <v>#REF!</v>
      </c>
      <c r="F42" t="e">
        <f>AND(#REF!,"AAAAAG3TqwU=")</f>
        <v>#REF!</v>
      </c>
      <c r="G42" t="e">
        <f>AND(#REF!,"AAAAAG3TqwY=")</f>
        <v>#REF!</v>
      </c>
      <c r="H42" t="e">
        <f>AND(#REF!,"AAAAAG3Tqwc=")</f>
        <v>#REF!</v>
      </c>
      <c r="I42" t="e">
        <f>AND(#REF!,"AAAAAG3Tqwg=")</f>
        <v>#REF!</v>
      </c>
      <c r="J42" t="e">
        <f>IF(#REF!,"AAAAAG3Tqwk=",0)</f>
        <v>#REF!</v>
      </c>
      <c r="K42" t="e">
        <f>AND(#REF!,"AAAAAG3Tqwo=")</f>
        <v>#REF!</v>
      </c>
      <c r="L42" t="e">
        <f>AND(#REF!,"AAAAAG3Tqws=")</f>
        <v>#REF!</v>
      </c>
      <c r="M42" t="e">
        <f>AND(#REF!,"AAAAAG3Tqww=")</f>
        <v>#REF!</v>
      </c>
      <c r="N42" t="e">
        <f>AND(#REF!,"AAAAAG3Tqw0=")</f>
        <v>#REF!</v>
      </c>
      <c r="O42" t="e">
        <f>AND(#REF!,"AAAAAG3Tqw4=")</f>
        <v>#REF!</v>
      </c>
      <c r="P42" t="e">
        <f>AND(#REF!,"AAAAAG3Tqw8=")</f>
        <v>#REF!</v>
      </c>
      <c r="Q42" t="e">
        <f>AND(#REF!,"AAAAAG3TqxA=")</f>
        <v>#REF!</v>
      </c>
      <c r="R42" t="e">
        <f>AND(#REF!,"AAAAAG3TqxE=")</f>
        <v>#REF!</v>
      </c>
      <c r="S42" t="e">
        <f>AND(#REF!,"AAAAAG3TqxI=")</f>
        <v>#REF!</v>
      </c>
      <c r="T42" t="e">
        <f>AND(#REF!,"AAAAAG3TqxM=")</f>
        <v>#REF!</v>
      </c>
      <c r="U42" t="e">
        <f>AND(#REF!,"AAAAAG3TqxQ=")</f>
        <v>#REF!</v>
      </c>
      <c r="V42" t="e">
        <f>AND(#REF!,"AAAAAG3TqxU=")</f>
        <v>#REF!</v>
      </c>
      <c r="W42" t="e">
        <f>AND(#REF!,"AAAAAG3TqxY=")</f>
        <v>#REF!</v>
      </c>
      <c r="X42" t="e">
        <f>IF(#REF!,"AAAAAG3Tqxc=",0)</f>
        <v>#REF!</v>
      </c>
      <c r="Y42" t="e">
        <f>AND(#REF!,"AAAAAG3Tqxg=")</f>
        <v>#REF!</v>
      </c>
      <c r="Z42" t="e">
        <f>AND(#REF!,"AAAAAG3Tqxk=")</f>
        <v>#REF!</v>
      </c>
      <c r="AA42" t="e">
        <f>AND(#REF!,"AAAAAG3Tqxo=")</f>
        <v>#REF!</v>
      </c>
      <c r="AB42" t="e">
        <f>AND(#REF!,"AAAAAG3Tqxs=")</f>
        <v>#REF!</v>
      </c>
      <c r="AC42" t="e">
        <f>AND(#REF!,"AAAAAG3Tqxw=")</f>
        <v>#REF!</v>
      </c>
      <c r="AD42" t="e">
        <f>AND(#REF!,"AAAAAG3Tqx0=")</f>
        <v>#REF!</v>
      </c>
      <c r="AE42" t="e">
        <f>AND(#REF!,"AAAAAG3Tqx4=")</f>
        <v>#REF!</v>
      </c>
      <c r="AF42" t="e">
        <f>AND(#REF!,"AAAAAG3Tqx8=")</f>
        <v>#REF!</v>
      </c>
      <c r="AG42" t="e">
        <f>AND(#REF!,"AAAAAG3TqyA=")</f>
        <v>#REF!</v>
      </c>
      <c r="AH42" t="e">
        <f>AND(#REF!,"AAAAAG3TqyE=")</f>
        <v>#REF!</v>
      </c>
      <c r="AI42" t="e">
        <f>AND(#REF!,"AAAAAG3TqyI=")</f>
        <v>#REF!</v>
      </c>
      <c r="AJ42" t="e">
        <f>AND(#REF!,"AAAAAG3TqyM=")</f>
        <v>#REF!</v>
      </c>
      <c r="AK42" t="e">
        <f>AND(#REF!,"AAAAAG3TqyQ=")</f>
        <v>#REF!</v>
      </c>
      <c r="AL42" t="e">
        <f>IF(#REF!,"AAAAAG3TqyU=",0)</f>
        <v>#REF!</v>
      </c>
      <c r="AM42" t="e">
        <f>AND(#REF!,"AAAAAG3TqyY=")</f>
        <v>#REF!</v>
      </c>
      <c r="AN42" t="e">
        <f>AND(#REF!,"AAAAAG3Tqyc=")</f>
        <v>#REF!</v>
      </c>
      <c r="AO42" t="e">
        <f>AND(#REF!,"AAAAAG3Tqyg=")</f>
        <v>#REF!</v>
      </c>
      <c r="AP42" t="e">
        <f>AND(#REF!,"AAAAAG3Tqyk=")</f>
        <v>#REF!</v>
      </c>
      <c r="AQ42" t="e">
        <f>AND(#REF!,"AAAAAG3Tqyo=")</f>
        <v>#REF!</v>
      </c>
      <c r="AR42" t="e">
        <f>AND(#REF!,"AAAAAG3Tqys=")</f>
        <v>#REF!</v>
      </c>
      <c r="AS42" t="e">
        <f>AND(#REF!,"AAAAAG3Tqyw=")</f>
        <v>#REF!</v>
      </c>
      <c r="AT42" t="e">
        <f>AND(#REF!,"AAAAAG3Tqy0=")</f>
        <v>#REF!</v>
      </c>
      <c r="AU42" t="e">
        <f>AND(#REF!,"AAAAAG3Tqy4=")</f>
        <v>#REF!</v>
      </c>
      <c r="AV42" t="e">
        <f>AND(#REF!,"AAAAAG3Tqy8=")</f>
        <v>#REF!</v>
      </c>
      <c r="AW42" t="e">
        <f>AND(#REF!,"AAAAAG3TqzA=")</f>
        <v>#REF!</v>
      </c>
      <c r="AX42" t="e">
        <f>AND(#REF!,"AAAAAG3TqzE=")</f>
        <v>#REF!</v>
      </c>
      <c r="AY42" t="e">
        <f>AND(#REF!,"AAAAAG3TqzI=")</f>
        <v>#REF!</v>
      </c>
      <c r="AZ42" t="e">
        <f>IF(#REF!,"AAAAAG3TqzM=",0)</f>
        <v>#REF!</v>
      </c>
      <c r="BA42" t="e">
        <f>AND(#REF!,"AAAAAG3TqzQ=")</f>
        <v>#REF!</v>
      </c>
      <c r="BB42" t="e">
        <f>AND(#REF!,"AAAAAG3TqzU=")</f>
        <v>#REF!</v>
      </c>
      <c r="BC42" t="e">
        <f>AND(#REF!,"AAAAAG3TqzY=")</f>
        <v>#REF!</v>
      </c>
      <c r="BD42" t="e">
        <f>AND(#REF!,"AAAAAG3Tqzc=")</f>
        <v>#REF!</v>
      </c>
      <c r="BE42" t="e">
        <f>AND(#REF!,"AAAAAG3Tqzg=")</f>
        <v>#REF!</v>
      </c>
      <c r="BF42" t="e">
        <f>AND(#REF!,"AAAAAG3Tqzk=")</f>
        <v>#REF!</v>
      </c>
      <c r="BG42" t="e">
        <f>AND(#REF!,"AAAAAG3Tqzo=")</f>
        <v>#REF!</v>
      </c>
      <c r="BH42" t="e">
        <f>AND(#REF!,"AAAAAG3Tqzs=")</f>
        <v>#REF!</v>
      </c>
      <c r="BI42" t="e">
        <f>AND(#REF!,"AAAAAG3Tqzw=")</f>
        <v>#REF!</v>
      </c>
      <c r="BJ42" t="e">
        <f>AND(#REF!,"AAAAAG3Tqz0=")</f>
        <v>#REF!</v>
      </c>
      <c r="BK42" t="e">
        <f>AND(#REF!,"AAAAAG3Tqz4=")</f>
        <v>#REF!</v>
      </c>
      <c r="BL42" t="e">
        <f>AND(#REF!,"AAAAAG3Tqz8=")</f>
        <v>#REF!</v>
      </c>
      <c r="BM42" t="e">
        <f>AND(#REF!,"AAAAAG3Tq0A=")</f>
        <v>#REF!</v>
      </c>
      <c r="BN42" t="e">
        <f>IF(#REF!,"AAAAAG3Tq0E=",0)</f>
        <v>#REF!</v>
      </c>
      <c r="BO42" t="e">
        <f>AND(#REF!,"AAAAAG3Tq0I=")</f>
        <v>#REF!</v>
      </c>
      <c r="BP42" t="e">
        <f>AND(#REF!,"AAAAAG3Tq0M=")</f>
        <v>#REF!</v>
      </c>
      <c r="BQ42" t="e">
        <f>AND(#REF!,"AAAAAG3Tq0Q=")</f>
        <v>#REF!</v>
      </c>
      <c r="BR42" t="e">
        <f>AND(#REF!,"AAAAAG3Tq0U=")</f>
        <v>#REF!</v>
      </c>
      <c r="BS42" t="e">
        <f>AND(#REF!,"AAAAAG3Tq0Y=")</f>
        <v>#REF!</v>
      </c>
      <c r="BT42" t="e">
        <f>AND(#REF!,"AAAAAG3Tq0c=")</f>
        <v>#REF!</v>
      </c>
      <c r="BU42" t="e">
        <f>AND(#REF!,"AAAAAG3Tq0g=")</f>
        <v>#REF!</v>
      </c>
      <c r="BV42" t="e">
        <f>AND(#REF!,"AAAAAG3Tq0k=")</f>
        <v>#REF!</v>
      </c>
      <c r="BW42" t="e">
        <f>IF(#REF!,"AAAAAG3Tq0o=",0)</f>
        <v>#REF!</v>
      </c>
      <c r="BX42" t="e">
        <f>AND(#REF!,"AAAAAG3Tq0s=")</f>
        <v>#REF!</v>
      </c>
      <c r="BY42" t="e">
        <f>AND(#REF!,"AAAAAG3Tq0w=")</f>
        <v>#REF!</v>
      </c>
      <c r="BZ42" t="e">
        <f>AND(#REF!,"AAAAAG3Tq00=")</f>
        <v>#REF!</v>
      </c>
      <c r="CA42" t="e">
        <f>AND(#REF!,"AAAAAG3Tq04=")</f>
        <v>#REF!</v>
      </c>
      <c r="CB42" t="e">
        <f>AND(#REF!,"AAAAAG3Tq08=")</f>
        <v>#REF!</v>
      </c>
      <c r="CC42" t="e">
        <f>AND(#REF!,"AAAAAG3Tq1A=")</f>
        <v>#REF!</v>
      </c>
      <c r="CD42" t="e">
        <f>AND(#REF!,"AAAAAG3Tq1E=")</f>
        <v>#REF!</v>
      </c>
      <c r="CE42" t="e">
        <f>AND(#REF!,"AAAAAG3Tq1I=")</f>
        <v>#REF!</v>
      </c>
      <c r="CF42" t="e">
        <f>IF(#REF!,"AAAAAG3Tq1M=",0)</f>
        <v>#REF!</v>
      </c>
      <c r="CG42" t="e">
        <f>AND(#REF!,"AAAAAG3Tq1Q=")</f>
        <v>#REF!</v>
      </c>
      <c r="CH42" t="e">
        <f>AND(#REF!,"AAAAAG3Tq1U=")</f>
        <v>#REF!</v>
      </c>
      <c r="CI42" t="e">
        <f>AND(#REF!,"AAAAAG3Tq1Y=")</f>
        <v>#REF!</v>
      </c>
      <c r="CJ42" t="e">
        <f>AND(#REF!,"AAAAAG3Tq1c=")</f>
        <v>#REF!</v>
      </c>
      <c r="CK42" t="e">
        <f>AND(#REF!,"AAAAAG3Tq1g=")</f>
        <v>#REF!</v>
      </c>
      <c r="CL42" t="e">
        <f>AND(#REF!,"AAAAAG3Tq1k=")</f>
        <v>#REF!</v>
      </c>
      <c r="CM42" t="e">
        <f>AND(#REF!,"AAAAAG3Tq1o=")</f>
        <v>#REF!</v>
      </c>
      <c r="CN42" t="e">
        <f>AND(#REF!,"AAAAAG3Tq1s=")</f>
        <v>#REF!</v>
      </c>
      <c r="CO42" t="e">
        <f>IF(#REF!,"AAAAAG3Tq1w=",0)</f>
        <v>#REF!</v>
      </c>
      <c r="CP42" t="e">
        <f>AND(#REF!,"AAAAAG3Tq10=")</f>
        <v>#REF!</v>
      </c>
      <c r="CQ42" t="e">
        <f>AND(#REF!,"AAAAAG3Tq14=")</f>
        <v>#REF!</v>
      </c>
      <c r="CR42" t="e">
        <f>AND(#REF!,"AAAAAG3Tq18=")</f>
        <v>#REF!</v>
      </c>
      <c r="CS42" t="e">
        <f>AND(#REF!,"AAAAAG3Tq2A=")</f>
        <v>#REF!</v>
      </c>
      <c r="CT42" t="e">
        <f>AND(#REF!,"AAAAAG3Tq2E=")</f>
        <v>#REF!</v>
      </c>
      <c r="CU42" t="e">
        <f>AND(#REF!,"AAAAAG3Tq2I=")</f>
        <v>#REF!</v>
      </c>
      <c r="CV42" t="e">
        <f>AND(#REF!,"AAAAAG3Tq2M=")</f>
        <v>#REF!</v>
      </c>
      <c r="CW42" t="e">
        <f>AND(#REF!,"AAAAAG3Tq2Q=")</f>
        <v>#REF!</v>
      </c>
      <c r="CX42" t="e">
        <f>IF(#REF!,"AAAAAG3Tq2U=",0)</f>
        <v>#REF!</v>
      </c>
      <c r="CY42" t="e">
        <f>AND(#REF!,"AAAAAG3Tq2Y=")</f>
        <v>#REF!</v>
      </c>
      <c r="CZ42" t="e">
        <f>AND(#REF!,"AAAAAG3Tq2c=")</f>
        <v>#REF!</v>
      </c>
      <c r="DA42" t="e">
        <f>AND(#REF!,"AAAAAG3Tq2g=")</f>
        <v>#REF!</v>
      </c>
      <c r="DB42" t="e">
        <f>AND(#REF!,"AAAAAG3Tq2k=")</f>
        <v>#REF!</v>
      </c>
      <c r="DC42" t="e">
        <f>AND(#REF!,"AAAAAG3Tq2o=")</f>
        <v>#REF!</v>
      </c>
      <c r="DD42" t="e">
        <f>AND(#REF!,"AAAAAG3Tq2s=")</f>
        <v>#REF!</v>
      </c>
      <c r="DE42" t="e">
        <f>AND(#REF!,"AAAAAG3Tq2w=")</f>
        <v>#REF!</v>
      </c>
      <c r="DF42" t="e">
        <f>AND(#REF!,"AAAAAG3Tq20=")</f>
        <v>#REF!</v>
      </c>
      <c r="DG42" t="e">
        <f>IF(#REF!,"AAAAAG3Tq24=",0)</f>
        <v>#REF!</v>
      </c>
      <c r="DH42" t="e">
        <f>AND(#REF!,"AAAAAG3Tq28=")</f>
        <v>#REF!</v>
      </c>
      <c r="DI42" t="e">
        <f>AND(#REF!,"AAAAAG3Tq3A=")</f>
        <v>#REF!</v>
      </c>
      <c r="DJ42" t="e">
        <f>AND(#REF!,"AAAAAG3Tq3E=")</f>
        <v>#REF!</v>
      </c>
      <c r="DK42" t="e">
        <f>AND(#REF!,"AAAAAG3Tq3I=")</f>
        <v>#REF!</v>
      </c>
      <c r="DL42" t="e">
        <f>AND(#REF!,"AAAAAG3Tq3M=")</f>
        <v>#REF!</v>
      </c>
      <c r="DM42" t="e">
        <f>AND(#REF!,"AAAAAG3Tq3Q=")</f>
        <v>#REF!</v>
      </c>
      <c r="DN42" t="e">
        <f>AND(#REF!,"AAAAAG3Tq3U=")</f>
        <v>#REF!</v>
      </c>
      <c r="DO42" t="e">
        <f>AND(#REF!,"AAAAAG3Tq3Y=")</f>
        <v>#REF!</v>
      </c>
      <c r="DP42" t="e">
        <f>IF(#REF!,"AAAAAG3Tq3c=",0)</f>
        <v>#REF!</v>
      </c>
      <c r="DQ42" t="e">
        <f>AND(#REF!,"AAAAAG3Tq3g=")</f>
        <v>#REF!</v>
      </c>
      <c r="DR42" t="e">
        <f>AND(#REF!,"AAAAAG3Tq3k=")</f>
        <v>#REF!</v>
      </c>
      <c r="DS42" t="e">
        <f>AND(#REF!,"AAAAAG3Tq3o=")</f>
        <v>#REF!</v>
      </c>
      <c r="DT42" t="e">
        <f>AND(#REF!,"AAAAAG3Tq3s=")</f>
        <v>#REF!</v>
      </c>
      <c r="DU42" t="e">
        <f>AND(#REF!,"AAAAAG3Tq3w=")</f>
        <v>#REF!</v>
      </c>
      <c r="DV42" t="e">
        <f>AND(#REF!,"AAAAAG3Tq30=")</f>
        <v>#REF!</v>
      </c>
      <c r="DW42" t="e">
        <f>AND(#REF!,"AAAAAG3Tq34=")</f>
        <v>#REF!</v>
      </c>
      <c r="DX42" t="e">
        <f>AND(#REF!,"AAAAAG3Tq38=")</f>
        <v>#REF!</v>
      </c>
      <c r="DY42" t="e">
        <f>IF(#REF!,"AAAAAG3Tq4A=",0)</f>
        <v>#REF!</v>
      </c>
      <c r="DZ42" t="e">
        <f>AND(#REF!,"AAAAAG3Tq4E=")</f>
        <v>#REF!</v>
      </c>
      <c r="EA42" t="e">
        <f>AND(#REF!,"AAAAAG3Tq4I=")</f>
        <v>#REF!</v>
      </c>
      <c r="EB42" t="e">
        <f>AND(#REF!,"AAAAAG3Tq4M=")</f>
        <v>#REF!</v>
      </c>
      <c r="EC42" t="e">
        <f>AND(#REF!,"AAAAAG3Tq4Q=")</f>
        <v>#REF!</v>
      </c>
      <c r="ED42" t="e">
        <f>AND(#REF!,"AAAAAG3Tq4U=")</f>
        <v>#REF!</v>
      </c>
      <c r="EE42" t="e">
        <f>AND(#REF!,"AAAAAG3Tq4Y=")</f>
        <v>#REF!</v>
      </c>
      <c r="EF42" t="e">
        <f>AND(#REF!,"AAAAAG3Tq4c=")</f>
        <v>#REF!</v>
      </c>
      <c r="EG42" t="e">
        <f>AND(#REF!,"AAAAAG3Tq4g=")</f>
        <v>#REF!</v>
      </c>
      <c r="EH42" t="e">
        <f>IF(#REF!,"AAAAAG3Tq4k=",0)</f>
        <v>#REF!</v>
      </c>
      <c r="EI42" t="e">
        <f>AND(#REF!,"AAAAAG3Tq4o=")</f>
        <v>#REF!</v>
      </c>
      <c r="EJ42" t="e">
        <f>AND(#REF!,"AAAAAG3Tq4s=")</f>
        <v>#REF!</v>
      </c>
      <c r="EK42" t="e">
        <f>AND(#REF!,"AAAAAG3Tq4w=")</f>
        <v>#REF!</v>
      </c>
      <c r="EL42" t="e">
        <f>AND(#REF!,"AAAAAG3Tq40=")</f>
        <v>#REF!</v>
      </c>
      <c r="EM42" t="e">
        <f>AND(#REF!,"AAAAAG3Tq44=")</f>
        <v>#REF!</v>
      </c>
      <c r="EN42" t="e">
        <f>AND(#REF!,"AAAAAG3Tq48=")</f>
        <v>#REF!</v>
      </c>
      <c r="EO42" t="e">
        <f>AND(#REF!,"AAAAAG3Tq5A=")</f>
        <v>#REF!</v>
      </c>
      <c r="EP42" t="e">
        <f>AND(#REF!,"AAAAAG3Tq5E=")</f>
        <v>#REF!</v>
      </c>
      <c r="EQ42" t="e">
        <f>IF(#REF!,"AAAAAG3Tq5I=",0)</f>
        <v>#REF!</v>
      </c>
      <c r="ER42" t="e">
        <f>AND(#REF!,"AAAAAG3Tq5M=")</f>
        <v>#REF!</v>
      </c>
      <c r="ES42" t="e">
        <f>AND(#REF!,"AAAAAG3Tq5Q=")</f>
        <v>#REF!</v>
      </c>
      <c r="ET42" t="e">
        <f>AND(#REF!,"AAAAAG3Tq5U=")</f>
        <v>#REF!</v>
      </c>
      <c r="EU42" t="e">
        <f>AND(#REF!,"AAAAAG3Tq5Y=")</f>
        <v>#REF!</v>
      </c>
      <c r="EV42" t="e">
        <f>AND(#REF!,"AAAAAG3Tq5c=")</f>
        <v>#REF!</v>
      </c>
      <c r="EW42" t="e">
        <f>AND(#REF!,"AAAAAG3Tq5g=")</f>
        <v>#REF!</v>
      </c>
      <c r="EX42" t="e">
        <f>AND(#REF!,"AAAAAG3Tq5k=")</f>
        <v>#REF!</v>
      </c>
      <c r="EY42" t="e">
        <f>AND(#REF!,"AAAAAG3Tq5o=")</f>
        <v>#REF!</v>
      </c>
      <c r="EZ42" t="e">
        <f>IF(#REF!,"AAAAAG3Tq5s=",0)</f>
        <v>#REF!</v>
      </c>
      <c r="FA42" t="e">
        <f>AND(#REF!,"AAAAAG3Tq5w=")</f>
        <v>#REF!</v>
      </c>
      <c r="FB42" t="e">
        <f>AND(#REF!,"AAAAAG3Tq50=")</f>
        <v>#REF!</v>
      </c>
      <c r="FC42" t="e">
        <f>AND(#REF!,"AAAAAG3Tq54=")</f>
        <v>#REF!</v>
      </c>
      <c r="FD42" t="e">
        <f>AND(#REF!,"AAAAAG3Tq58=")</f>
        <v>#REF!</v>
      </c>
      <c r="FE42" t="e">
        <f>AND(#REF!,"AAAAAG3Tq6A=")</f>
        <v>#REF!</v>
      </c>
      <c r="FF42" t="e">
        <f>AND(#REF!,"AAAAAG3Tq6E=")</f>
        <v>#REF!</v>
      </c>
      <c r="FG42" t="e">
        <f>AND(#REF!,"AAAAAG3Tq6I=")</f>
        <v>#REF!</v>
      </c>
      <c r="FH42" t="e">
        <f>AND(#REF!,"AAAAAG3Tq6M=")</f>
        <v>#REF!</v>
      </c>
      <c r="FI42" t="e">
        <f>IF(#REF!,"AAAAAG3Tq6Q=",0)</f>
        <v>#REF!</v>
      </c>
      <c r="FJ42" t="e">
        <f>AND(#REF!,"AAAAAG3Tq6U=")</f>
        <v>#REF!</v>
      </c>
      <c r="FK42" t="e">
        <f>AND(#REF!,"AAAAAG3Tq6Y=")</f>
        <v>#REF!</v>
      </c>
      <c r="FL42" t="e">
        <f>AND(#REF!,"AAAAAG3Tq6c=")</f>
        <v>#REF!</v>
      </c>
      <c r="FM42" t="e">
        <f>AND(#REF!,"AAAAAG3Tq6g=")</f>
        <v>#REF!</v>
      </c>
      <c r="FN42" t="e">
        <f>AND(#REF!,"AAAAAG3Tq6k=")</f>
        <v>#REF!</v>
      </c>
      <c r="FO42" t="e">
        <f>AND(#REF!,"AAAAAG3Tq6o=")</f>
        <v>#REF!</v>
      </c>
      <c r="FP42" t="e">
        <f>AND(#REF!,"AAAAAG3Tq6s=")</f>
        <v>#REF!</v>
      </c>
      <c r="FQ42" t="e">
        <f>AND(#REF!,"AAAAAG3Tq6w=")</f>
        <v>#REF!</v>
      </c>
      <c r="FR42" t="e">
        <f>IF(#REF!,"AAAAAG3Tq60=",0)</f>
        <v>#REF!</v>
      </c>
      <c r="FS42" t="e">
        <f>AND(#REF!,"AAAAAG3Tq64=")</f>
        <v>#REF!</v>
      </c>
      <c r="FT42" t="e">
        <f>AND(#REF!,"AAAAAG3Tq68=")</f>
        <v>#REF!</v>
      </c>
      <c r="FU42" t="e">
        <f>AND(#REF!,"AAAAAG3Tq7A=")</f>
        <v>#REF!</v>
      </c>
      <c r="FV42" t="e">
        <f>AND(#REF!,"AAAAAG3Tq7E=")</f>
        <v>#REF!</v>
      </c>
      <c r="FW42" t="e">
        <f>AND(#REF!,"AAAAAG3Tq7I=")</f>
        <v>#REF!</v>
      </c>
      <c r="FX42" t="e">
        <f>AND(#REF!,"AAAAAG3Tq7M=")</f>
        <v>#REF!</v>
      </c>
      <c r="FY42" t="e">
        <f>AND(#REF!,"AAAAAG3Tq7Q=")</f>
        <v>#REF!</v>
      </c>
      <c r="FZ42" t="e">
        <f>AND(#REF!,"AAAAAG3Tq7U=")</f>
        <v>#REF!</v>
      </c>
      <c r="GA42" t="e">
        <f>IF(#REF!,"AAAAAG3Tq7Y=",0)</f>
        <v>#REF!</v>
      </c>
      <c r="GB42" t="e">
        <f>AND(#REF!,"AAAAAG3Tq7c=")</f>
        <v>#REF!</v>
      </c>
      <c r="GC42" t="e">
        <f>AND(#REF!,"AAAAAG3Tq7g=")</f>
        <v>#REF!</v>
      </c>
      <c r="GD42" t="e">
        <f>AND(#REF!,"AAAAAG3Tq7k=")</f>
        <v>#REF!</v>
      </c>
      <c r="GE42" t="e">
        <f>AND(#REF!,"AAAAAG3Tq7o=")</f>
        <v>#REF!</v>
      </c>
      <c r="GF42" t="e">
        <f>AND(#REF!,"AAAAAG3Tq7s=")</f>
        <v>#REF!</v>
      </c>
      <c r="GG42" t="e">
        <f>AND(#REF!,"AAAAAG3Tq7w=")</f>
        <v>#REF!</v>
      </c>
      <c r="GH42" t="e">
        <f>AND(#REF!,"AAAAAG3Tq70=")</f>
        <v>#REF!</v>
      </c>
      <c r="GI42" t="e">
        <f>AND(#REF!,"AAAAAG3Tq74=")</f>
        <v>#REF!</v>
      </c>
      <c r="GJ42" t="e">
        <f>IF(#REF!,"AAAAAG3Tq78=",0)</f>
        <v>#REF!</v>
      </c>
      <c r="GK42" t="e">
        <f>AND(#REF!,"AAAAAG3Tq8A=")</f>
        <v>#REF!</v>
      </c>
      <c r="GL42" t="e">
        <f>AND(#REF!,"AAAAAG3Tq8E=")</f>
        <v>#REF!</v>
      </c>
      <c r="GM42" t="e">
        <f>AND(#REF!,"AAAAAG3Tq8I=")</f>
        <v>#REF!</v>
      </c>
      <c r="GN42" t="e">
        <f>AND(#REF!,"AAAAAG3Tq8M=")</f>
        <v>#REF!</v>
      </c>
      <c r="GO42" t="e">
        <f>AND(#REF!,"AAAAAG3Tq8Q=")</f>
        <v>#REF!</v>
      </c>
      <c r="GP42" t="e">
        <f>AND(#REF!,"AAAAAG3Tq8U=")</f>
        <v>#REF!</v>
      </c>
      <c r="GQ42" t="e">
        <f>AND(#REF!,"AAAAAG3Tq8Y=")</f>
        <v>#REF!</v>
      </c>
      <c r="GR42" t="e">
        <f>AND(#REF!,"AAAAAG3Tq8c=")</f>
        <v>#REF!</v>
      </c>
      <c r="GS42" t="e">
        <f>IF(#REF!,"AAAAAG3Tq8g=",0)</f>
        <v>#REF!</v>
      </c>
      <c r="GT42" t="e">
        <f>AND(#REF!,"AAAAAG3Tq8k=")</f>
        <v>#REF!</v>
      </c>
      <c r="GU42" t="e">
        <f>AND(#REF!,"AAAAAG3Tq8o=")</f>
        <v>#REF!</v>
      </c>
      <c r="GV42" t="e">
        <f>AND(#REF!,"AAAAAG3Tq8s=")</f>
        <v>#REF!</v>
      </c>
      <c r="GW42" t="e">
        <f>AND(#REF!,"AAAAAG3Tq8w=")</f>
        <v>#REF!</v>
      </c>
      <c r="GX42" t="e">
        <f>AND(#REF!,"AAAAAG3Tq80=")</f>
        <v>#REF!</v>
      </c>
      <c r="GY42" t="e">
        <f>AND(#REF!,"AAAAAG3Tq84=")</f>
        <v>#REF!</v>
      </c>
      <c r="GZ42" t="e">
        <f>AND(#REF!,"AAAAAG3Tq88=")</f>
        <v>#REF!</v>
      </c>
      <c r="HA42" t="e">
        <f>AND(#REF!,"AAAAAG3Tq9A=")</f>
        <v>#REF!</v>
      </c>
      <c r="HB42" t="e">
        <f>IF(#REF!,"AAAAAG3Tq9E=",0)</f>
        <v>#REF!</v>
      </c>
      <c r="HC42" t="e">
        <f>AND(#REF!,"AAAAAG3Tq9I=")</f>
        <v>#REF!</v>
      </c>
      <c r="HD42" t="e">
        <f>AND(#REF!,"AAAAAG3Tq9M=")</f>
        <v>#REF!</v>
      </c>
      <c r="HE42" t="e">
        <f>AND(#REF!,"AAAAAG3Tq9Q=")</f>
        <v>#REF!</v>
      </c>
      <c r="HF42" t="e">
        <f>AND(#REF!,"AAAAAG3Tq9U=")</f>
        <v>#REF!</v>
      </c>
      <c r="HG42" t="e">
        <f>AND(#REF!,"AAAAAG3Tq9Y=")</f>
        <v>#REF!</v>
      </c>
      <c r="HH42" t="e">
        <f>AND(#REF!,"AAAAAG3Tq9c=")</f>
        <v>#REF!</v>
      </c>
      <c r="HI42" t="e">
        <f>AND(#REF!,"AAAAAG3Tq9g=")</f>
        <v>#REF!</v>
      </c>
      <c r="HJ42" t="e">
        <f>AND(#REF!,"AAAAAG3Tq9k=")</f>
        <v>#REF!</v>
      </c>
      <c r="HK42" t="e">
        <f>IF(#REF!,"AAAAAG3Tq9o=",0)</f>
        <v>#REF!</v>
      </c>
      <c r="HL42" t="e">
        <f>AND(#REF!,"AAAAAG3Tq9s=")</f>
        <v>#REF!</v>
      </c>
      <c r="HM42" t="e">
        <f>AND(#REF!,"AAAAAG3Tq9w=")</f>
        <v>#REF!</v>
      </c>
      <c r="HN42" t="e">
        <f>AND(#REF!,"AAAAAG3Tq90=")</f>
        <v>#REF!</v>
      </c>
      <c r="HO42" t="e">
        <f>AND(#REF!,"AAAAAG3Tq94=")</f>
        <v>#REF!</v>
      </c>
      <c r="HP42" t="e">
        <f>AND(#REF!,"AAAAAG3Tq98=")</f>
        <v>#REF!</v>
      </c>
      <c r="HQ42" t="e">
        <f>AND(#REF!,"AAAAAG3Tq+A=")</f>
        <v>#REF!</v>
      </c>
      <c r="HR42" t="e">
        <f>AND(#REF!,"AAAAAG3Tq+E=")</f>
        <v>#REF!</v>
      </c>
      <c r="HS42" t="e">
        <f>AND(#REF!,"AAAAAG3Tq+I=")</f>
        <v>#REF!</v>
      </c>
      <c r="HT42" t="e">
        <f>IF(#REF!,"AAAAAG3Tq+M=",0)</f>
        <v>#REF!</v>
      </c>
      <c r="HU42" t="e">
        <f>AND(#REF!,"AAAAAG3Tq+Q=")</f>
        <v>#REF!</v>
      </c>
      <c r="HV42" t="e">
        <f>AND(#REF!,"AAAAAG3Tq+U=")</f>
        <v>#REF!</v>
      </c>
      <c r="HW42" t="e">
        <f>AND(#REF!,"AAAAAG3Tq+Y=")</f>
        <v>#REF!</v>
      </c>
      <c r="HX42" t="e">
        <f>AND(#REF!,"AAAAAG3Tq+c=")</f>
        <v>#REF!</v>
      </c>
      <c r="HY42" t="e">
        <f>AND(#REF!,"AAAAAG3Tq+g=")</f>
        <v>#REF!</v>
      </c>
      <c r="HZ42" t="e">
        <f>AND(#REF!,"AAAAAG3Tq+k=")</f>
        <v>#REF!</v>
      </c>
      <c r="IA42" t="e">
        <f>AND(#REF!,"AAAAAG3Tq+o=")</f>
        <v>#REF!</v>
      </c>
      <c r="IB42" t="e">
        <f>AND(#REF!,"AAAAAG3Tq+s=")</f>
        <v>#REF!</v>
      </c>
      <c r="IC42" t="e">
        <f>IF(#REF!,"AAAAAG3Tq+w=",0)</f>
        <v>#REF!</v>
      </c>
      <c r="ID42" t="e">
        <f>AND(#REF!,"AAAAAG3Tq+0=")</f>
        <v>#REF!</v>
      </c>
      <c r="IE42" t="e">
        <f>AND(#REF!,"AAAAAG3Tq+4=")</f>
        <v>#REF!</v>
      </c>
      <c r="IF42" t="e">
        <f>AND(#REF!,"AAAAAG3Tq+8=")</f>
        <v>#REF!</v>
      </c>
      <c r="IG42" t="e">
        <f>AND(#REF!,"AAAAAG3Tq/A=")</f>
        <v>#REF!</v>
      </c>
      <c r="IH42" t="e">
        <f>AND(#REF!,"AAAAAG3Tq/E=")</f>
        <v>#REF!</v>
      </c>
      <c r="II42" t="e">
        <f>AND(#REF!,"AAAAAG3Tq/I=")</f>
        <v>#REF!</v>
      </c>
      <c r="IJ42" t="e">
        <f>AND(#REF!,"AAAAAG3Tq/M=")</f>
        <v>#REF!</v>
      </c>
      <c r="IK42" t="e">
        <f>AND(#REF!,"AAAAAG3Tq/Q=")</f>
        <v>#REF!</v>
      </c>
      <c r="IL42" t="e">
        <f>IF(#REF!,"AAAAAG3Tq/U=",0)</f>
        <v>#REF!</v>
      </c>
      <c r="IM42" t="e">
        <f>AND(#REF!,"AAAAAG3Tq/Y=")</f>
        <v>#REF!</v>
      </c>
      <c r="IN42" t="e">
        <f>AND(#REF!,"AAAAAG3Tq/c=")</f>
        <v>#REF!</v>
      </c>
      <c r="IO42" t="e">
        <f>AND(#REF!,"AAAAAG3Tq/g=")</f>
        <v>#REF!</v>
      </c>
      <c r="IP42" t="e">
        <f>AND(#REF!,"AAAAAG3Tq/k=")</f>
        <v>#REF!</v>
      </c>
      <c r="IQ42" t="e">
        <f>AND(#REF!,"AAAAAG3Tq/o=")</f>
        <v>#REF!</v>
      </c>
      <c r="IR42" t="e">
        <f>AND(#REF!,"AAAAAG3Tq/s=")</f>
        <v>#REF!</v>
      </c>
      <c r="IS42" t="e">
        <f>AND(#REF!,"AAAAAG3Tq/w=")</f>
        <v>#REF!</v>
      </c>
      <c r="IT42" t="e">
        <f>AND(#REF!,"AAAAAG3Tq/0=")</f>
        <v>#REF!</v>
      </c>
      <c r="IU42" t="e">
        <f>IF(#REF!,"AAAAAG3Tq/4=",0)</f>
        <v>#REF!</v>
      </c>
      <c r="IV42" t="e">
        <f>AND(#REF!,"AAAAAG3Tq/8=")</f>
        <v>#REF!</v>
      </c>
    </row>
    <row r="43" spans="1:256" x14ac:dyDescent="0.2">
      <c r="A43" t="e">
        <f>AND(#REF!,"AAAAAHdZfwA=")</f>
        <v>#REF!</v>
      </c>
      <c r="B43" t="e">
        <f>AND(#REF!,"AAAAAHdZfwE=")</f>
        <v>#REF!</v>
      </c>
      <c r="C43" t="e">
        <f>AND(#REF!,"AAAAAHdZfwI=")</f>
        <v>#REF!</v>
      </c>
      <c r="D43" t="e">
        <f>AND(#REF!,"AAAAAHdZfwM=")</f>
        <v>#REF!</v>
      </c>
      <c r="E43" t="e">
        <f>AND(#REF!,"AAAAAHdZfwQ=")</f>
        <v>#REF!</v>
      </c>
      <c r="F43" t="e">
        <f>AND(#REF!,"AAAAAHdZfwU=")</f>
        <v>#REF!</v>
      </c>
      <c r="G43" t="e">
        <f>AND(#REF!,"AAAAAHdZfwY=")</f>
        <v>#REF!</v>
      </c>
      <c r="H43" t="e">
        <f>IF(#REF!,"AAAAAHdZfwc=",0)</f>
        <v>#REF!</v>
      </c>
      <c r="I43" t="e">
        <f>AND(#REF!,"AAAAAHdZfwg=")</f>
        <v>#REF!</v>
      </c>
      <c r="J43" t="e">
        <f>AND(#REF!,"AAAAAHdZfwk=")</f>
        <v>#REF!</v>
      </c>
      <c r="K43" t="e">
        <f>AND(#REF!,"AAAAAHdZfwo=")</f>
        <v>#REF!</v>
      </c>
      <c r="L43" t="e">
        <f>AND(#REF!,"AAAAAHdZfws=")</f>
        <v>#REF!</v>
      </c>
      <c r="M43" t="e">
        <f>AND(#REF!,"AAAAAHdZfww=")</f>
        <v>#REF!</v>
      </c>
      <c r="N43" t="e">
        <f>AND(#REF!,"AAAAAHdZfw0=")</f>
        <v>#REF!</v>
      </c>
      <c r="O43" t="e">
        <f>AND(#REF!,"AAAAAHdZfw4=")</f>
        <v>#REF!</v>
      </c>
      <c r="P43" t="e">
        <f>AND(#REF!,"AAAAAHdZfw8=")</f>
        <v>#REF!</v>
      </c>
      <c r="Q43" t="e">
        <f>IF(#REF!,"AAAAAHdZfxA=",0)</f>
        <v>#REF!</v>
      </c>
      <c r="R43" t="e">
        <f>AND(#REF!,"AAAAAHdZfxE=")</f>
        <v>#REF!</v>
      </c>
      <c r="S43" t="e">
        <f>AND(#REF!,"AAAAAHdZfxI=")</f>
        <v>#REF!</v>
      </c>
      <c r="T43" t="e">
        <f>AND(#REF!,"AAAAAHdZfxM=")</f>
        <v>#REF!</v>
      </c>
      <c r="U43" t="e">
        <f>AND(#REF!,"AAAAAHdZfxQ=")</f>
        <v>#REF!</v>
      </c>
      <c r="V43" t="e">
        <f>AND(#REF!,"AAAAAHdZfxU=")</f>
        <v>#REF!</v>
      </c>
      <c r="W43" t="e">
        <f>AND(#REF!,"AAAAAHdZfxY=")</f>
        <v>#REF!</v>
      </c>
      <c r="X43" t="e">
        <f>AND(#REF!,"AAAAAHdZfxc=")</f>
        <v>#REF!</v>
      </c>
      <c r="Y43" t="e">
        <f>AND(#REF!,"AAAAAHdZfxg=")</f>
        <v>#REF!</v>
      </c>
      <c r="Z43" t="e">
        <f>IF(#REF!,"AAAAAHdZfxk=",0)</f>
        <v>#REF!</v>
      </c>
      <c r="AA43" t="e">
        <f>AND(#REF!,"AAAAAHdZfxo=")</f>
        <v>#REF!</v>
      </c>
      <c r="AB43" t="e">
        <f>AND(#REF!,"AAAAAHdZfxs=")</f>
        <v>#REF!</v>
      </c>
      <c r="AC43" t="e">
        <f>AND(#REF!,"AAAAAHdZfxw=")</f>
        <v>#REF!</v>
      </c>
      <c r="AD43" t="e">
        <f>AND(#REF!,"AAAAAHdZfx0=")</f>
        <v>#REF!</v>
      </c>
      <c r="AE43" t="e">
        <f>AND(#REF!,"AAAAAHdZfx4=")</f>
        <v>#REF!</v>
      </c>
      <c r="AF43" t="e">
        <f>AND(#REF!,"AAAAAHdZfx8=")</f>
        <v>#REF!</v>
      </c>
      <c r="AG43" t="e">
        <f>AND(#REF!,"AAAAAHdZfyA=")</f>
        <v>#REF!</v>
      </c>
      <c r="AH43" t="e">
        <f>AND(#REF!,"AAAAAHdZfyE=")</f>
        <v>#REF!</v>
      </c>
      <c r="AI43" t="e">
        <f>IF(#REF!,"AAAAAHdZfyI=",0)</f>
        <v>#REF!</v>
      </c>
      <c r="AJ43" t="e">
        <f>AND(#REF!,"AAAAAHdZfyM=")</f>
        <v>#REF!</v>
      </c>
      <c r="AK43" t="e">
        <f>AND(#REF!,"AAAAAHdZfyQ=")</f>
        <v>#REF!</v>
      </c>
      <c r="AL43" t="e">
        <f>AND(#REF!,"AAAAAHdZfyU=")</f>
        <v>#REF!</v>
      </c>
      <c r="AM43" t="e">
        <f>AND(#REF!,"AAAAAHdZfyY=")</f>
        <v>#REF!</v>
      </c>
      <c r="AN43" t="e">
        <f>AND(#REF!,"AAAAAHdZfyc=")</f>
        <v>#REF!</v>
      </c>
      <c r="AO43" t="e">
        <f>AND(#REF!,"AAAAAHdZfyg=")</f>
        <v>#REF!</v>
      </c>
      <c r="AP43" t="e">
        <f>AND(#REF!,"AAAAAHdZfyk=")</f>
        <v>#REF!</v>
      </c>
      <c r="AQ43" t="e">
        <f>AND(#REF!,"AAAAAHdZfyo=")</f>
        <v>#REF!</v>
      </c>
      <c r="AR43" t="e">
        <f>IF(#REF!,"AAAAAHdZfys=",0)</f>
        <v>#REF!</v>
      </c>
      <c r="AS43" t="e">
        <f>AND(#REF!,"AAAAAHdZfyw=")</f>
        <v>#REF!</v>
      </c>
      <c r="AT43" t="e">
        <f>AND(#REF!,"AAAAAHdZfy0=")</f>
        <v>#REF!</v>
      </c>
      <c r="AU43" t="e">
        <f>AND(#REF!,"AAAAAHdZfy4=")</f>
        <v>#REF!</v>
      </c>
      <c r="AV43" t="e">
        <f>AND(#REF!,"AAAAAHdZfy8=")</f>
        <v>#REF!</v>
      </c>
      <c r="AW43" t="e">
        <f>AND(#REF!,"AAAAAHdZfzA=")</f>
        <v>#REF!</v>
      </c>
      <c r="AX43" t="e">
        <f>AND(#REF!,"AAAAAHdZfzE=")</f>
        <v>#REF!</v>
      </c>
      <c r="AY43" t="e">
        <f>AND(#REF!,"AAAAAHdZfzI=")</f>
        <v>#REF!</v>
      </c>
      <c r="AZ43" t="e">
        <f>AND(#REF!,"AAAAAHdZfzM=")</f>
        <v>#REF!</v>
      </c>
      <c r="BA43" t="e">
        <f>IF(#REF!,"AAAAAHdZfzQ=",0)</f>
        <v>#REF!</v>
      </c>
      <c r="BB43" t="e">
        <f>AND(#REF!,"AAAAAHdZfzU=")</f>
        <v>#REF!</v>
      </c>
      <c r="BC43" t="e">
        <f>AND(#REF!,"AAAAAHdZfzY=")</f>
        <v>#REF!</v>
      </c>
      <c r="BD43" t="e">
        <f>AND(#REF!,"AAAAAHdZfzc=")</f>
        <v>#REF!</v>
      </c>
      <c r="BE43" t="e">
        <f>AND(#REF!,"AAAAAHdZfzg=")</f>
        <v>#REF!</v>
      </c>
      <c r="BF43" t="e">
        <f>AND(#REF!,"AAAAAHdZfzk=")</f>
        <v>#REF!</v>
      </c>
      <c r="BG43" t="e">
        <f>AND(#REF!,"AAAAAHdZfzo=")</f>
        <v>#REF!</v>
      </c>
      <c r="BH43" t="e">
        <f>AND(#REF!,"AAAAAHdZfzs=")</f>
        <v>#REF!</v>
      </c>
      <c r="BI43" t="e">
        <f>AND(#REF!,"AAAAAHdZfzw=")</f>
        <v>#REF!</v>
      </c>
      <c r="BJ43" t="e">
        <f>IF(#REF!,"AAAAAHdZfz0=",0)</f>
        <v>#REF!</v>
      </c>
      <c r="BK43" t="e">
        <f>AND(#REF!,"AAAAAHdZfz4=")</f>
        <v>#REF!</v>
      </c>
      <c r="BL43" t="e">
        <f>AND(#REF!,"AAAAAHdZfz8=")</f>
        <v>#REF!</v>
      </c>
      <c r="BM43" t="e">
        <f>AND(#REF!,"AAAAAHdZf0A=")</f>
        <v>#REF!</v>
      </c>
      <c r="BN43" t="e">
        <f>AND(#REF!,"AAAAAHdZf0E=")</f>
        <v>#REF!</v>
      </c>
      <c r="BO43" t="e">
        <f>AND(#REF!,"AAAAAHdZf0I=")</f>
        <v>#REF!</v>
      </c>
      <c r="BP43" t="e">
        <f>AND(#REF!,"AAAAAHdZf0M=")</f>
        <v>#REF!</v>
      </c>
      <c r="BQ43" t="e">
        <f>AND(#REF!,"AAAAAHdZf0Q=")</f>
        <v>#REF!</v>
      </c>
      <c r="BR43" t="e">
        <f>AND(#REF!,"AAAAAHdZf0U=")</f>
        <v>#REF!</v>
      </c>
      <c r="BS43" t="e">
        <f>IF(#REF!,"AAAAAHdZf0Y=",0)</f>
        <v>#REF!</v>
      </c>
      <c r="BT43" t="e">
        <f>AND(#REF!,"AAAAAHdZf0c=")</f>
        <v>#REF!</v>
      </c>
      <c r="BU43" t="e">
        <f>AND(#REF!,"AAAAAHdZf0g=")</f>
        <v>#REF!</v>
      </c>
      <c r="BV43" t="e">
        <f>AND(#REF!,"AAAAAHdZf0k=")</f>
        <v>#REF!</v>
      </c>
      <c r="BW43" t="e">
        <f>AND(#REF!,"AAAAAHdZf0o=")</f>
        <v>#REF!</v>
      </c>
      <c r="BX43" t="e">
        <f>AND(#REF!,"AAAAAHdZf0s=")</f>
        <v>#REF!</v>
      </c>
      <c r="BY43" t="e">
        <f>AND(#REF!,"AAAAAHdZf0w=")</f>
        <v>#REF!</v>
      </c>
      <c r="BZ43" t="e">
        <f>AND(#REF!,"AAAAAHdZf00=")</f>
        <v>#REF!</v>
      </c>
      <c r="CA43" t="e">
        <f>AND(#REF!,"AAAAAHdZf04=")</f>
        <v>#REF!</v>
      </c>
      <c r="CB43" t="e">
        <f>IF(#REF!,"AAAAAHdZf08=",0)</f>
        <v>#REF!</v>
      </c>
      <c r="CC43" t="e">
        <f>AND(#REF!,"AAAAAHdZf1A=")</f>
        <v>#REF!</v>
      </c>
      <c r="CD43" t="e">
        <f>AND(#REF!,"AAAAAHdZf1E=")</f>
        <v>#REF!</v>
      </c>
      <c r="CE43" t="e">
        <f>AND(#REF!,"AAAAAHdZf1I=")</f>
        <v>#REF!</v>
      </c>
      <c r="CF43" t="e">
        <f>AND(#REF!,"AAAAAHdZf1M=")</f>
        <v>#REF!</v>
      </c>
      <c r="CG43" t="e">
        <f>AND(#REF!,"AAAAAHdZf1Q=")</f>
        <v>#REF!</v>
      </c>
      <c r="CH43" t="e">
        <f>AND(#REF!,"AAAAAHdZf1U=")</f>
        <v>#REF!</v>
      </c>
      <c r="CI43" t="e">
        <f>AND(#REF!,"AAAAAHdZf1Y=")</f>
        <v>#REF!</v>
      </c>
      <c r="CJ43" t="e">
        <f>AND(#REF!,"AAAAAHdZf1c=")</f>
        <v>#REF!</v>
      </c>
      <c r="CK43" t="e">
        <f>IF(#REF!,"AAAAAHdZf1g=",0)</f>
        <v>#REF!</v>
      </c>
      <c r="CL43" t="e">
        <f>IF(#REF!,"AAAAAHdZf1k=",0)</f>
        <v>#REF!</v>
      </c>
      <c r="CM43" t="e">
        <f>IF(#REF!,"AAAAAHdZf1o=",0)</f>
        <v>#REF!</v>
      </c>
      <c r="CN43" t="e">
        <f>IF(#REF!,"AAAAAHdZf1s=",0)</f>
        <v>#REF!</v>
      </c>
      <c r="CO43" t="e">
        <f>IF(#REF!,"AAAAAHdZf1w=",0)</f>
        <v>#REF!</v>
      </c>
      <c r="CP43" t="e">
        <f>IF(#REF!,"AAAAAHdZf10=",0)</f>
        <v>#REF!</v>
      </c>
      <c r="CQ43" t="e">
        <f>IF(#REF!,"AAAAAHdZf14=",0)</f>
        <v>#REF!</v>
      </c>
      <c r="CR43" t="e">
        <f>IF(#REF!,"AAAAAHdZf18=",0)</f>
        <v>#REF!</v>
      </c>
      <c r="CS43" t="e">
        <f>IF(#REF!,"AAAAAHdZf2A=",0)</f>
        <v>#REF!</v>
      </c>
      <c r="CT43" t="e">
        <f>IF(#REF!,"AAAAAHdZf2E=",0)</f>
        <v>#REF!</v>
      </c>
      <c r="CU43" t="e">
        <f>IF(#REF!,"AAAAAHdZf2I=",0)</f>
        <v>#REF!</v>
      </c>
      <c r="CV43" t="e">
        <f>IF(#REF!,"AAAAAHdZf2M=",0)</f>
        <v>#REF!</v>
      </c>
      <c r="CW43" t="e">
        <f>IF(#REF!,"AAAAAHdZf2Q=",0)</f>
        <v>#REF!</v>
      </c>
      <c r="CX43" t="e">
        <f>IF(#REF!,"AAAAAHdZf2U=",0)</f>
        <v>#REF!</v>
      </c>
      <c r="CY43" t="e">
        <f>AND(#REF!,"AAAAAHdZf2Y=")</f>
        <v>#REF!</v>
      </c>
      <c r="CZ43" t="e">
        <f>AND(#REF!,"AAAAAHdZf2c=")</f>
        <v>#REF!</v>
      </c>
      <c r="DA43" t="e">
        <f>AND(#REF!,"AAAAAHdZf2g=")</f>
        <v>#REF!</v>
      </c>
      <c r="DB43" t="e">
        <f>AND(#REF!,"AAAAAHdZf2k=")</f>
        <v>#REF!</v>
      </c>
      <c r="DC43" t="e">
        <f>AND(#REF!,"AAAAAHdZf2o=")</f>
        <v>#REF!</v>
      </c>
      <c r="DD43" t="e">
        <f>AND(#REF!,"AAAAAHdZf2s=")</f>
        <v>#REF!</v>
      </c>
      <c r="DE43" t="e">
        <f>AND(#REF!,"AAAAAHdZf2w=")</f>
        <v>#REF!</v>
      </c>
      <c r="DF43" t="e">
        <f>AND(#REF!,"AAAAAHdZf20=")</f>
        <v>#REF!</v>
      </c>
      <c r="DG43" t="e">
        <f>AND(#REF!,"AAAAAHdZf24=")</f>
        <v>#REF!</v>
      </c>
      <c r="DH43" t="e">
        <f>AND(#REF!,"AAAAAHdZf28=")</f>
        <v>#REF!</v>
      </c>
      <c r="DI43" t="e">
        <f>AND(#REF!,"AAAAAHdZf3A=")</f>
        <v>#REF!</v>
      </c>
      <c r="DJ43" t="e">
        <f>AND(#REF!,"AAAAAHdZf3E=")</f>
        <v>#REF!</v>
      </c>
      <c r="DK43" t="e">
        <f>AND(#REF!,"AAAAAHdZf3I=")</f>
        <v>#REF!</v>
      </c>
      <c r="DL43" t="e">
        <f>IF(#REF!,"AAAAAHdZf3M=",0)</f>
        <v>#REF!</v>
      </c>
      <c r="DM43" t="e">
        <f>AND(#REF!,"AAAAAHdZf3Q=")</f>
        <v>#REF!</v>
      </c>
      <c r="DN43" t="e">
        <f>AND(#REF!,"AAAAAHdZf3U=")</f>
        <v>#REF!</v>
      </c>
      <c r="DO43" t="e">
        <f>AND(#REF!,"AAAAAHdZf3Y=")</f>
        <v>#REF!</v>
      </c>
      <c r="DP43" t="e">
        <f>AND(#REF!,"AAAAAHdZf3c=")</f>
        <v>#REF!</v>
      </c>
      <c r="DQ43" t="e">
        <f>AND(#REF!,"AAAAAHdZf3g=")</f>
        <v>#REF!</v>
      </c>
      <c r="DR43" t="e">
        <f>AND(#REF!,"AAAAAHdZf3k=")</f>
        <v>#REF!</v>
      </c>
      <c r="DS43" t="e">
        <f>AND(#REF!,"AAAAAHdZf3o=")</f>
        <v>#REF!</v>
      </c>
      <c r="DT43" t="e">
        <f>AND(#REF!,"AAAAAHdZf3s=")</f>
        <v>#REF!</v>
      </c>
      <c r="DU43" t="e">
        <f>AND(#REF!,"AAAAAHdZf3w=")</f>
        <v>#REF!</v>
      </c>
      <c r="DV43" t="e">
        <f>AND(#REF!,"AAAAAHdZf30=")</f>
        <v>#REF!</v>
      </c>
      <c r="DW43" t="e">
        <f>AND(#REF!,"AAAAAHdZf34=")</f>
        <v>#REF!</v>
      </c>
      <c r="DX43" t="e">
        <f>AND(#REF!,"AAAAAHdZf38=")</f>
        <v>#REF!</v>
      </c>
      <c r="DY43" t="e">
        <f>AND(#REF!,"AAAAAHdZf4A=")</f>
        <v>#REF!</v>
      </c>
      <c r="DZ43" t="e">
        <f>IF(#REF!,"AAAAAHdZf4E=",0)</f>
        <v>#REF!</v>
      </c>
      <c r="EA43" t="e">
        <f>AND(#REF!,"AAAAAHdZf4I=")</f>
        <v>#REF!</v>
      </c>
      <c r="EB43" t="e">
        <f>AND(#REF!,"AAAAAHdZf4M=")</f>
        <v>#REF!</v>
      </c>
      <c r="EC43" t="e">
        <f>AND(#REF!,"AAAAAHdZf4Q=")</f>
        <v>#REF!</v>
      </c>
      <c r="ED43" t="e">
        <f>AND(#REF!,"AAAAAHdZf4U=")</f>
        <v>#REF!</v>
      </c>
      <c r="EE43" t="e">
        <f>AND(#REF!,"AAAAAHdZf4Y=")</f>
        <v>#REF!</v>
      </c>
      <c r="EF43" t="e">
        <f>AND(#REF!,"AAAAAHdZf4c=")</f>
        <v>#REF!</v>
      </c>
      <c r="EG43" t="e">
        <f>AND(#REF!,"AAAAAHdZf4g=")</f>
        <v>#REF!</v>
      </c>
      <c r="EH43" t="e">
        <f>AND(#REF!,"AAAAAHdZf4k=")</f>
        <v>#REF!</v>
      </c>
      <c r="EI43" t="e">
        <f>AND(#REF!,"AAAAAHdZf4o=")</f>
        <v>#REF!</v>
      </c>
      <c r="EJ43" t="e">
        <f>AND(#REF!,"AAAAAHdZf4s=")</f>
        <v>#REF!</v>
      </c>
      <c r="EK43" t="e">
        <f>AND(#REF!,"AAAAAHdZf4w=")</f>
        <v>#REF!</v>
      </c>
      <c r="EL43" t="e">
        <f>AND(#REF!,"AAAAAHdZf40=")</f>
        <v>#REF!</v>
      </c>
      <c r="EM43" t="e">
        <f>AND(#REF!,"AAAAAHdZf44=")</f>
        <v>#REF!</v>
      </c>
      <c r="EN43" t="e">
        <f>IF(#REF!,"AAAAAHdZf48=",0)</f>
        <v>#REF!</v>
      </c>
      <c r="EO43" t="e">
        <f>AND(#REF!,"AAAAAHdZf5A=")</f>
        <v>#REF!</v>
      </c>
      <c r="EP43" t="e">
        <f>AND(#REF!,"AAAAAHdZf5E=")</f>
        <v>#REF!</v>
      </c>
      <c r="EQ43" t="e">
        <f>AND(#REF!,"AAAAAHdZf5I=")</f>
        <v>#REF!</v>
      </c>
      <c r="ER43" t="e">
        <f>AND(#REF!,"AAAAAHdZf5M=")</f>
        <v>#REF!</v>
      </c>
      <c r="ES43" t="e">
        <f>AND(#REF!,"AAAAAHdZf5Q=")</f>
        <v>#REF!</v>
      </c>
      <c r="ET43" t="e">
        <f>AND(#REF!,"AAAAAHdZf5U=")</f>
        <v>#REF!</v>
      </c>
      <c r="EU43" t="e">
        <f>AND(#REF!,"AAAAAHdZf5Y=")</f>
        <v>#REF!</v>
      </c>
      <c r="EV43" t="e">
        <f>AND(#REF!,"AAAAAHdZf5c=")</f>
        <v>#REF!</v>
      </c>
      <c r="EW43" t="e">
        <f>AND(#REF!,"AAAAAHdZf5g=")</f>
        <v>#REF!</v>
      </c>
      <c r="EX43" t="e">
        <f>AND(#REF!,"AAAAAHdZf5k=")</f>
        <v>#REF!</v>
      </c>
      <c r="EY43" t="e">
        <f>AND(#REF!,"AAAAAHdZf5o=")</f>
        <v>#REF!</v>
      </c>
      <c r="EZ43" t="e">
        <f>AND(#REF!,"AAAAAHdZf5s=")</f>
        <v>#REF!</v>
      </c>
      <c r="FA43" t="e">
        <f>AND(#REF!,"AAAAAHdZf5w=")</f>
        <v>#REF!</v>
      </c>
      <c r="FB43" t="e">
        <f>IF(#REF!,"AAAAAHdZf50=",0)</f>
        <v>#REF!</v>
      </c>
      <c r="FC43" t="e">
        <f>AND(#REF!,"AAAAAHdZf54=")</f>
        <v>#REF!</v>
      </c>
      <c r="FD43" t="e">
        <f>AND(#REF!,"AAAAAHdZf58=")</f>
        <v>#REF!</v>
      </c>
      <c r="FE43" t="e">
        <f>AND(#REF!,"AAAAAHdZf6A=")</f>
        <v>#REF!</v>
      </c>
      <c r="FF43" t="e">
        <f>AND(#REF!,"AAAAAHdZf6E=")</f>
        <v>#REF!</v>
      </c>
      <c r="FG43" t="e">
        <f>AND(#REF!,"AAAAAHdZf6I=")</f>
        <v>#REF!</v>
      </c>
      <c r="FH43" t="e">
        <f>AND(#REF!,"AAAAAHdZf6M=")</f>
        <v>#REF!</v>
      </c>
      <c r="FI43" t="e">
        <f>AND(#REF!,"AAAAAHdZf6Q=")</f>
        <v>#REF!</v>
      </c>
      <c r="FJ43" t="e">
        <f>AND(#REF!,"AAAAAHdZf6U=")</f>
        <v>#REF!</v>
      </c>
      <c r="FK43" t="e">
        <f>AND(#REF!,"AAAAAHdZf6Y=")</f>
        <v>#REF!</v>
      </c>
      <c r="FL43" t="e">
        <f>AND(#REF!,"AAAAAHdZf6c=")</f>
        <v>#REF!</v>
      </c>
      <c r="FM43" t="e">
        <f>AND(#REF!,"AAAAAHdZf6g=")</f>
        <v>#REF!</v>
      </c>
      <c r="FN43" t="e">
        <f>AND(#REF!,"AAAAAHdZf6k=")</f>
        <v>#REF!</v>
      </c>
      <c r="FO43" t="e">
        <f>AND(#REF!,"AAAAAHdZf6o=")</f>
        <v>#REF!</v>
      </c>
      <c r="FP43" t="e">
        <f>IF(#REF!,"AAAAAHdZf6s=",0)</f>
        <v>#REF!</v>
      </c>
      <c r="FQ43" t="e">
        <f>AND(#REF!,"AAAAAHdZf6w=")</f>
        <v>#REF!</v>
      </c>
      <c r="FR43" t="e">
        <f>AND(#REF!,"AAAAAHdZf60=")</f>
        <v>#REF!</v>
      </c>
      <c r="FS43" t="e">
        <f>AND(#REF!,"AAAAAHdZf64=")</f>
        <v>#REF!</v>
      </c>
      <c r="FT43" t="e">
        <f>AND(#REF!,"AAAAAHdZf68=")</f>
        <v>#REF!</v>
      </c>
      <c r="FU43" t="e">
        <f>AND(#REF!,"AAAAAHdZf7A=")</f>
        <v>#REF!</v>
      </c>
      <c r="FV43" t="e">
        <f>AND(#REF!,"AAAAAHdZf7E=")</f>
        <v>#REF!</v>
      </c>
      <c r="FW43" t="e">
        <f>AND(#REF!,"AAAAAHdZf7I=")</f>
        <v>#REF!</v>
      </c>
      <c r="FX43" t="e">
        <f>AND(#REF!,"AAAAAHdZf7M=")</f>
        <v>#REF!</v>
      </c>
      <c r="FY43" t="e">
        <f>AND(#REF!,"AAAAAHdZf7Q=")</f>
        <v>#REF!</v>
      </c>
      <c r="FZ43" t="e">
        <f>AND(#REF!,"AAAAAHdZf7U=")</f>
        <v>#REF!</v>
      </c>
      <c r="GA43" t="e">
        <f>AND(#REF!,"AAAAAHdZf7Y=")</f>
        <v>#REF!</v>
      </c>
      <c r="GB43" t="e">
        <f>AND(#REF!,"AAAAAHdZf7c=")</f>
        <v>#REF!</v>
      </c>
      <c r="GC43" t="e">
        <f>AND(#REF!,"AAAAAHdZf7g=")</f>
        <v>#REF!</v>
      </c>
      <c r="GD43" t="e">
        <f>IF(#REF!,"AAAAAHdZf7k=",0)</f>
        <v>#REF!</v>
      </c>
      <c r="GE43" t="e">
        <f>AND(#REF!,"AAAAAHdZf7o=")</f>
        <v>#REF!</v>
      </c>
      <c r="GF43" t="e">
        <f>AND(#REF!,"AAAAAHdZf7s=")</f>
        <v>#REF!</v>
      </c>
      <c r="GG43" t="e">
        <f>AND(#REF!,"AAAAAHdZf7w=")</f>
        <v>#REF!</v>
      </c>
      <c r="GH43" t="e">
        <f>AND(#REF!,"AAAAAHdZf70=")</f>
        <v>#REF!</v>
      </c>
      <c r="GI43" t="e">
        <f>AND(#REF!,"AAAAAHdZf74=")</f>
        <v>#REF!</v>
      </c>
      <c r="GJ43" t="e">
        <f>AND(#REF!,"AAAAAHdZf78=")</f>
        <v>#REF!</v>
      </c>
      <c r="GK43" t="e">
        <f>AND(#REF!,"AAAAAHdZf8A=")</f>
        <v>#REF!</v>
      </c>
      <c r="GL43" t="e">
        <f>AND(#REF!,"AAAAAHdZf8E=")</f>
        <v>#REF!</v>
      </c>
      <c r="GM43" t="e">
        <f>AND(#REF!,"AAAAAHdZf8I=")</f>
        <v>#REF!</v>
      </c>
      <c r="GN43" t="e">
        <f>AND(#REF!,"AAAAAHdZf8M=")</f>
        <v>#REF!</v>
      </c>
      <c r="GO43" t="e">
        <f>AND(#REF!,"AAAAAHdZf8Q=")</f>
        <v>#REF!</v>
      </c>
      <c r="GP43" t="e">
        <f>AND(#REF!,"AAAAAHdZf8U=")</f>
        <v>#REF!</v>
      </c>
      <c r="GQ43" t="e">
        <f>AND(#REF!,"AAAAAHdZf8Y=")</f>
        <v>#REF!</v>
      </c>
      <c r="GR43" t="e">
        <f>IF(#REF!,"AAAAAHdZf8c=",0)</f>
        <v>#REF!</v>
      </c>
      <c r="GS43" t="e">
        <f>AND(#REF!,"AAAAAHdZf8g=")</f>
        <v>#REF!</v>
      </c>
      <c r="GT43" t="e">
        <f>AND(#REF!,"AAAAAHdZf8k=")</f>
        <v>#REF!</v>
      </c>
      <c r="GU43" t="e">
        <f>AND(#REF!,"AAAAAHdZf8o=")</f>
        <v>#REF!</v>
      </c>
      <c r="GV43" t="e">
        <f>AND(#REF!,"AAAAAHdZf8s=")</f>
        <v>#REF!</v>
      </c>
      <c r="GW43" t="e">
        <f>AND(#REF!,"AAAAAHdZf8w=")</f>
        <v>#REF!</v>
      </c>
      <c r="GX43" t="e">
        <f>AND(#REF!,"AAAAAHdZf80=")</f>
        <v>#REF!</v>
      </c>
      <c r="GY43" t="e">
        <f>AND(#REF!,"AAAAAHdZf84=")</f>
        <v>#REF!</v>
      </c>
      <c r="GZ43" t="e">
        <f>AND(#REF!,"AAAAAHdZf88=")</f>
        <v>#REF!</v>
      </c>
      <c r="HA43" t="e">
        <f>AND(#REF!,"AAAAAHdZf9A=")</f>
        <v>#REF!</v>
      </c>
      <c r="HB43" t="e">
        <f>AND(#REF!,"AAAAAHdZf9E=")</f>
        <v>#REF!</v>
      </c>
      <c r="HC43" t="e">
        <f>AND(#REF!,"AAAAAHdZf9I=")</f>
        <v>#REF!</v>
      </c>
      <c r="HD43" t="e">
        <f>AND(#REF!,"AAAAAHdZf9M=")</f>
        <v>#REF!</v>
      </c>
      <c r="HE43" t="e">
        <f>AND(#REF!,"AAAAAHdZf9Q=")</f>
        <v>#REF!</v>
      </c>
      <c r="HF43" t="e">
        <f>IF(#REF!,"AAAAAHdZf9U=",0)</f>
        <v>#REF!</v>
      </c>
      <c r="HG43" t="e">
        <f>AND(#REF!,"AAAAAHdZf9Y=")</f>
        <v>#REF!</v>
      </c>
      <c r="HH43" t="e">
        <f>AND(#REF!,"AAAAAHdZf9c=")</f>
        <v>#REF!</v>
      </c>
      <c r="HI43" t="e">
        <f>AND(#REF!,"AAAAAHdZf9g=")</f>
        <v>#REF!</v>
      </c>
      <c r="HJ43" t="e">
        <f>AND(#REF!,"AAAAAHdZf9k=")</f>
        <v>#REF!</v>
      </c>
      <c r="HK43" t="e">
        <f>AND(#REF!,"AAAAAHdZf9o=")</f>
        <v>#REF!</v>
      </c>
      <c r="HL43" t="e">
        <f>AND(#REF!,"AAAAAHdZf9s=")</f>
        <v>#REF!</v>
      </c>
      <c r="HM43" t="e">
        <f>AND(#REF!,"AAAAAHdZf9w=")</f>
        <v>#REF!</v>
      </c>
      <c r="HN43" t="e">
        <f>AND(#REF!,"AAAAAHdZf90=")</f>
        <v>#REF!</v>
      </c>
      <c r="HO43" t="e">
        <f>AND(#REF!,"AAAAAHdZf94=")</f>
        <v>#REF!</v>
      </c>
      <c r="HP43" t="e">
        <f>AND(#REF!,"AAAAAHdZf98=")</f>
        <v>#REF!</v>
      </c>
      <c r="HQ43" t="e">
        <f>AND(#REF!,"AAAAAHdZf+A=")</f>
        <v>#REF!</v>
      </c>
      <c r="HR43" t="e">
        <f>AND(#REF!,"AAAAAHdZf+E=")</f>
        <v>#REF!</v>
      </c>
      <c r="HS43" t="e">
        <f>AND(#REF!,"AAAAAHdZf+I=")</f>
        <v>#REF!</v>
      </c>
      <c r="HT43" t="e">
        <f>IF(#REF!,"AAAAAHdZf+M=",0)</f>
        <v>#REF!</v>
      </c>
      <c r="HU43" t="e">
        <f>AND(#REF!,"AAAAAHdZf+Q=")</f>
        <v>#REF!</v>
      </c>
      <c r="HV43" t="e">
        <f>AND(#REF!,"AAAAAHdZf+U=")</f>
        <v>#REF!</v>
      </c>
      <c r="HW43" t="e">
        <f>AND(#REF!,"AAAAAHdZf+Y=")</f>
        <v>#REF!</v>
      </c>
      <c r="HX43" t="e">
        <f>AND(#REF!,"AAAAAHdZf+c=")</f>
        <v>#REF!</v>
      </c>
      <c r="HY43" t="e">
        <f>AND(#REF!,"AAAAAHdZf+g=")</f>
        <v>#REF!</v>
      </c>
      <c r="HZ43" t="e">
        <f>AND(#REF!,"AAAAAHdZf+k=")</f>
        <v>#REF!</v>
      </c>
      <c r="IA43" t="e">
        <f>AND(#REF!,"AAAAAHdZf+o=")</f>
        <v>#REF!</v>
      </c>
      <c r="IB43" t="e">
        <f>AND(#REF!,"AAAAAHdZf+s=")</f>
        <v>#REF!</v>
      </c>
      <c r="IC43" t="e">
        <f>AND(#REF!,"AAAAAHdZf+w=")</f>
        <v>#REF!</v>
      </c>
      <c r="ID43" t="e">
        <f>AND(#REF!,"AAAAAHdZf+0=")</f>
        <v>#REF!</v>
      </c>
      <c r="IE43" t="e">
        <f>AND(#REF!,"AAAAAHdZf+4=")</f>
        <v>#REF!</v>
      </c>
      <c r="IF43" t="e">
        <f>AND(#REF!,"AAAAAHdZf+8=")</f>
        <v>#REF!</v>
      </c>
      <c r="IG43" t="e">
        <f>AND(#REF!,"AAAAAHdZf/A=")</f>
        <v>#REF!</v>
      </c>
      <c r="IH43" t="e">
        <f>IF(#REF!,"AAAAAHdZf/E=",0)</f>
        <v>#REF!</v>
      </c>
      <c r="II43" t="e">
        <f>AND(#REF!,"AAAAAHdZf/I=")</f>
        <v>#REF!</v>
      </c>
      <c r="IJ43" t="e">
        <f>AND(#REF!,"AAAAAHdZf/M=")</f>
        <v>#REF!</v>
      </c>
      <c r="IK43" t="e">
        <f>AND(#REF!,"AAAAAHdZf/Q=")</f>
        <v>#REF!</v>
      </c>
      <c r="IL43" t="e">
        <f>AND(#REF!,"AAAAAHdZf/U=")</f>
        <v>#REF!</v>
      </c>
      <c r="IM43" t="e">
        <f>AND(#REF!,"AAAAAHdZf/Y=")</f>
        <v>#REF!</v>
      </c>
      <c r="IN43" t="e">
        <f>AND(#REF!,"AAAAAHdZf/c=")</f>
        <v>#REF!</v>
      </c>
      <c r="IO43" t="e">
        <f>AND(#REF!,"AAAAAHdZf/g=")</f>
        <v>#REF!</v>
      </c>
      <c r="IP43" t="e">
        <f>AND(#REF!,"AAAAAHdZf/k=")</f>
        <v>#REF!</v>
      </c>
      <c r="IQ43" t="e">
        <f>AND(#REF!,"AAAAAHdZf/o=")</f>
        <v>#REF!</v>
      </c>
      <c r="IR43" t="e">
        <f>AND(#REF!,"AAAAAHdZf/s=")</f>
        <v>#REF!</v>
      </c>
      <c r="IS43" t="e">
        <f>AND(#REF!,"AAAAAHdZf/w=")</f>
        <v>#REF!</v>
      </c>
      <c r="IT43" t="e">
        <f>AND(#REF!,"AAAAAHdZf/0=")</f>
        <v>#REF!</v>
      </c>
      <c r="IU43" t="e">
        <f>AND(#REF!,"AAAAAHdZf/4=")</f>
        <v>#REF!</v>
      </c>
      <c r="IV43" t="e">
        <f>IF(#REF!,"AAAAAHdZf/8=",0)</f>
        <v>#REF!</v>
      </c>
    </row>
    <row r="44" spans="1:256" x14ac:dyDescent="0.2">
      <c r="A44" t="e">
        <f>AND(#REF!,"AAAAAH/77wA=")</f>
        <v>#REF!</v>
      </c>
      <c r="B44" t="e">
        <f>AND(#REF!,"AAAAAH/77wE=")</f>
        <v>#REF!</v>
      </c>
      <c r="C44" t="e">
        <f>AND(#REF!,"AAAAAH/77wI=")</f>
        <v>#REF!</v>
      </c>
      <c r="D44" t="e">
        <f>AND(#REF!,"AAAAAH/77wM=")</f>
        <v>#REF!</v>
      </c>
      <c r="E44" t="e">
        <f>AND(#REF!,"AAAAAH/77wQ=")</f>
        <v>#REF!</v>
      </c>
      <c r="F44" t="e">
        <f>AND(#REF!,"AAAAAH/77wU=")</f>
        <v>#REF!</v>
      </c>
      <c r="G44" t="e">
        <f>AND(#REF!,"AAAAAH/77wY=")</f>
        <v>#REF!</v>
      </c>
      <c r="H44" t="e">
        <f>AND(#REF!,"AAAAAH/77wc=")</f>
        <v>#REF!</v>
      </c>
      <c r="I44" t="e">
        <f>AND(#REF!,"AAAAAH/77wg=")</f>
        <v>#REF!</v>
      </c>
      <c r="J44" t="e">
        <f>AND(#REF!,"AAAAAH/77wk=")</f>
        <v>#REF!</v>
      </c>
      <c r="K44" t="e">
        <f>AND(#REF!,"AAAAAH/77wo=")</f>
        <v>#REF!</v>
      </c>
      <c r="L44" t="e">
        <f>AND(#REF!,"AAAAAH/77ws=")</f>
        <v>#REF!</v>
      </c>
      <c r="M44" t="e">
        <f>AND(#REF!,"AAAAAH/77ww=")</f>
        <v>#REF!</v>
      </c>
      <c r="N44" t="e">
        <f>IF(#REF!,"AAAAAH/77w0=",0)</f>
        <v>#REF!</v>
      </c>
      <c r="O44" t="e">
        <f>AND(#REF!,"AAAAAH/77w4=")</f>
        <v>#REF!</v>
      </c>
      <c r="P44" t="e">
        <f>AND(#REF!,"AAAAAH/77w8=")</f>
        <v>#REF!</v>
      </c>
      <c r="Q44" t="e">
        <f>AND(#REF!,"AAAAAH/77xA=")</f>
        <v>#REF!</v>
      </c>
      <c r="R44" t="e">
        <f>AND(#REF!,"AAAAAH/77xE=")</f>
        <v>#REF!</v>
      </c>
      <c r="S44" t="e">
        <f>AND(#REF!,"AAAAAH/77xI=")</f>
        <v>#REF!</v>
      </c>
      <c r="T44" t="e">
        <f>AND(#REF!,"AAAAAH/77xM=")</f>
        <v>#REF!</v>
      </c>
      <c r="U44" t="e">
        <f>AND(#REF!,"AAAAAH/77xQ=")</f>
        <v>#REF!</v>
      </c>
      <c r="V44" t="e">
        <f>AND(#REF!,"AAAAAH/77xU=")</f>
        <v>#REF!</v>
      </c>
      <c r="W44" t="e">
        <f>AND(#REF!,"AAAAAH/77xY=")</f>
        <v>#REF!</v>
      </c>
      <c r="X44" t="e">
        <f>AND(#REF!,"AAAAAH/77xc=")</f>
        <v>#REF!</v>
      </c>
      <c r="Y44" t="e">
        <f>AND(#REF!,"AAAAAH/77xg=")</f>
        <v>#REF!</v>
      </c>
      <c r="Z44" t="e">
        <f>AND(#REF!,"AAAAAH/77xk=")</f>
        <v>#REF!</v>
      </c>
      <c r="AA44" t="e">
        <f>AND(#REF!,"AAAAAH/77xo=")</f>
        <v>#REF!</v>
      </c>
      <c r="AB44" t="e">
        <f>IF(#REF!,"AAAAAH/77xs=",0)</f>
        <v>#REF!</v>
      </c>
      <c r="AC44" t="e">
        <f>AND(#REF!,"AAAAAH/77xw=")</f>
        <v>#REF!</v>
      </c>
      <c r="AD44" t="e">
        <f>AND(#REF!,"AAAAAH/77x0=")</f>
        <v>#REF!</v>
      </c>
      <c r="AE44" t="e">
        <f>AND(#REF!,"AAAAAH/77x4=")</f>
        <v>#REF!</v>
      </c>
      <c r="AF44" t="e">
        <f>AND(#REF!,"AAAAAH/77x8=")</f>
        <v>#REF!</v>
      </c>
      <c r="AG44" t="e">
        <f>AND(#REF!,"AAAAAH/77yA=")</f>
        <v>#REF!</v>
      </c>
      <c r="AH44" t="e">
        <f>AND(#REF!,"AAAAAH/77yE=")</f>
        <v>#REF!</v>
      </c>
      <c r="AI44" t="e">
        <f>AND(#REF!,"AAAAAH/77yI=")</f>
        <v>#REF!</v>
      </c>
      <c r="AJ44" t="e">
        <f>AND(#REF!,"AAAAAH/77yM=")</f>
        <v>#REF!</v>
      </c>
      <c r="AK44" t="e">
        <f>AND(#REF!,"AAAAAH/77yQ=")</f>
        <v>#REF!</v>
      </c>
      <c r="AL44" t="e">
        <f>AND(#REF!,"AAAAAH/77yU=")</f>
        <v>#REF!</v>
      </c>
      <c r="AM44" t="e">
        <f>AND(#REF!,"AAAAAH/77yY=")</f>
        <v>#REF!</v>
      </c>
      <c r="AN44" t="e">
        <f>AND(#REF!,"AAAAAH/77yc=")</f>
        <v>#REF!</v>
      </c>
      <c r="AO44" t="e">
        <f>AND(#REF!,"AAAAAH/77yg=")</f>
        <v>#REF!</v>
      </c>
      <c r="AP44" t="e">
        <f>IF(#REF!,"AAAAAH/77yk=",0)</f>
        <v>#REF!</v>
      </c>
      <c r="AQ44" t="e">
        <f>AND(#REF!,"AAAAAH/77yo=")</f>
        <v>#REF!</v>
      </c>
      <c r="AR44" t="e">
        <f>AND(#REF!,"AAAAAH/77ys=")</f>
        <v>#REF!</v>
      </c>
      <c r="AS44" t="e">
        <f>AND(#REF!,"AAAAAH/77yw=")</f>
        <v>#REF!</v>
      </c>
      <c r="AT44" t="e">
        <f>AND(#REF!,"AAAAAH/77y0=")</f>
        <v>#REF!</v>
      </c>
      <c r="AU44" t="e">
        <f>AND(#REF!,"AAAAAH/77y4=")</f>
        <v>#REF!</v>
      </c>
      <c r="AV44" t="e">
        <f>AND(#REF!,"AAAAAH/77y8=")</f>
        <v>#REF!</v>
      </c>
      <c r="AW44" t="e">
        <f>AND(#REF!,"AAAAAH/77zA=")</f>
        <v>#REF!</v>
      </c>
      <c r="AX44" t="e">
        <f>AND(#REF!,"AAAAAH/77zE=")</f>
        <v>#REF!</v>
      </c>
      <c r="AY44" t="e">
        <f>AND(#REF!,"AAAAAH/77zI=")</f>
        <v>#REF!</v>
      </c>
      <c r="AZ44" t="e">
        <f>AND(#REF!,"AAAAAH/77zM=")</f>
        <v>#REF!</v>
      </c>
      <c r="BA44" t="e">
        <f>AND(#REF!,"AAAAAH/77zQ=")</f>
        <v>#REF!</v>
      </c>
      <c r="BB44" t="e">
        <f>AND(#REF!,"AAAAAH/77zU=")</f>
        <v>#REF!</v>
      </c>
      <c r="BC44" t="e">
        <f>AND(#REF!,"AAAAAH/77zY=")</f>
        <v>#REF!</v>
      </c>
      <c r="BD44" t="e">
        <f>IF(#REF!,"AAAAAH/77zc=",0)</f>
        <v>#REF!</v>
      </c>
      <c r="BE44" t="e">
        <f>AND(#REF!,"AAAAAH/77zg=")</f>
        <v>#REF!</v>
      </c>
      <c r="BF44" t="e">
        <f>AND(#REF!,"AAAAAH/77zk=")</f>
        <v>#REF!</v>
      </c>
      <c r="BG44" t="e">
        <f>AND(#REF!,"AAAAAH/77zo=")</f>
        <v>#REF!</v>
      </c>
      <c r="BH44" t="e">
        <f>AND(#REF!,"AAAAAH/77zs=")</f>
        <v>#REF!</v>
      </c>
      <c r="BI44" t="e">
        <f>AND(#REF!,"AAAAAH/77zw=")</f>
        <v>#REF!</v>
      </c>
      <c r="BJ44" t="e">
        <f>AND(#REF!,"AAAAAH/77z0=")</f>
        <v>#REF!</v>
      </c>
      <c r="BK44" t="e">
        <f>AND(#REF!,"AAAAAH/77z4=")</f>
        <v>#REF!</v>
      </c>
      <c r="BL44" t="e">
        <f>AND(#REF!,"AAAAAH/77z8=")</f>
        <v>#REF!</v>
      </c>
      <c r="BM44" t="e">
        <f>AND(#REF!,"AAAAAH/770A=")</f>
        <v>#REF!</v>
      </c>
      <c r="BN44" t="e">
        <f>AND(#REF!,"AAAAAH/770E=")</f>
        <v>#REF!</v>
      </c>
      <c r="BO44" t="e">
        <f>AND(#REF!,"AAAAAH/770I=")</f>
        <v>#REF!</v>
      </c>
      <c r="BP44" t="e">
        <f>AND(#REF!,"AAAAAH/770M=")</f>
        <v>#REF!</v>
      </c>
      <c r="BQ44" t="e">
        <f>AND(#REF!,"AAAAAH/770Q=")</f>
        <v>#REF!</v>
      </c>
      <c r="BR44" t="e">
        <f>IF(#REF!,"AAAAAH/770U=",0)</f>
        <v>#REF!</v>
      </c>
      <c r="BS44" t="e">
        <f>AND(#REF!,"AAAAAH/770Y=")</f>
        <v>#REF!</v>
      </c>
      <c r="BT44" t="e">
        <f>AND(#REF!,"AAAAAH/770c=")</f>
        <v>#REF!</v>
      </c>
      <c r="BU44" t="e">
        <f>AND(#REF!,"AAAAAH/770g=")</f>
        <v>#REF!</v>
      </c>
      <c r="BV44" t="e">
        <f>AND(#REF!,"AAAAAH/770k=")</f>
        <v>#REF!</v>
      </c>
      <c r="BW44" t="e">
        <f>AND(#REF!,"AAAAAH/770o=")</f>
        <v>#REF!</v>
      </c>
      <c r="BX44" t="e">
        <f>AND(#REF!,"AAAAAH/770s=")</f>
        <v>#REF!</v>
      </c>
      <c r="BY44" t="e">
        <f>AND(#REF!,"AAAAAH/770w=")</f>
        <v>#REF!</v>
      </c>
      <c r="BZ44" t="e">
        <f>AND(#REF!,"AAAAAH/7700=")</f>
        <v>#REF!</v>
      </c>
      <c r="CA44" t="e">
        <f>AND(#REF!,"AAAAAH/7704=")</f>
        <v>#REF!</v>
      </c>
      <c r="CB44" t="e">
        <f>AND(#REF!,"AAAAAH/7708=")</f>
        <v>#REF!</v>
      </c>
      <c r="CC44" t="e">
        <f>AND(#REF!,"AAAAAH/771A=")</f>
        <v>#REF!</v>
      </c>
      <c r="CD44" t="e">
        <f>AND(#REF!,"AAAAAH/771E=")</f>
        <v>#REF!</v>
      </c>
      <c r="CE44" t="e">
        <f>AND(#REF!,"AAAAAH/771I=")</f>
        <v>#REF!</v>
      </c>
      <c r="CF44" t="e">
        <f>IF(#REF!,"AAAAAH/771M=",0)</f>
        <v>#REF!</v>
      </c>
      <c r="CG44" t="e">
        <f>AND(#REF!,"AAAAAH/771Q=")</f>
        <v>#REF!</v>
      </c>
      <c r="CH44" t="e">
        <f>AND(#REF!,"AAAAAH/771U=")</f>
        <v>#REF!</v>
      </c>
      <c r="CI44" t="e">
        <f>AND(#REF!,"AAAAAH/771Y=")</f>
        <v>#REF!</v>
      </c>
      <c r="CJ44" t="e">
        <f>AND(#REF!,"AAAAAH/771c=")</f>
        <v>#REF!</v>
      </c>
      <c r="CK44" t="e">
        <f>AND(#REF!,"AAAAAH/771g=")</f>
        <v>#REF!</v>
      </c>
      <c r="CL44" t="e">
        <f>AND(#REF!,"AAAAAH/771k=")</f>
        <v>#REF!</v>
      </c>
      <c r="CM44" t="e">
        <f>AND(#REF!,"AAAAAH/771o=")</f>
        <v>#REF!</v>
      </c>
      <c r="CN44" t="e">
        <f>AND(#REF!,"AAAAAH/771s=")</f>
        <v>#REF!</v>
      </c>
      <c r="CO44" t="e">
        <f>AND(#REF!,"AAAAAH/771w=")</f>
        <v>#REF!</v>
      </c>
      <c r="CP44" t="e">
        <f>AND(#REF!,"AAAAAH/7710=")</f>
        <v>#REF!</v>
      </c>
      <c r="CQ44" t="e">
        <f>AND(#REF!,"AAAAAH/7714=")</f>
        <v>#REF!</v>
      </c>
      <c r="CR44" t="e">
        <f>AND(#REF!,"AAAAAH/7718=")</f>
        <v>#REF!</v>
      </c>
      <c r="CS44" t="e">
        <f>AND(#REF!,"AAAAAH/772A=")</f>
        <v>#REF!</v>
      </c>
      <c r="CT44" t="e">
        <f>IF(#REF!,"AAAAAH/772E=",0)</f>
        <v>#REF!</v>
      </c>
      <c r="CU44" t="e">
        <f>AND(#REF!,"AAAAAH/772I=")</f>
        <v>#REF!</v>
      </c>
      <c r="CV44" t="e">
        <f>AND(#REF!,"AAAAAH/772M=")</f>
        <v>#REF!</v>
      </c>
      <c r="CW44" t="e">
        <f>AND(#REF!,"AAAAAH/772Q=")</f>
        <v>#REF!</v>
      </c>
      <c r="CX44" t="e">
        <f>AND(#REF!,"AAAAAH/772U=")</f>
        <v>#REF!</v>
      </c>
      <c r="CY44" t="e">
        <f>AND(#REF!,"AAAAAH/772Y=")</f>
        <v>#REF!</v>
      </c>
      <c r="CZ44" t="e">
        <f>AND(#REF!,"AAAAAH/772c=")</f>
        <v>#REF!</v>
      </c>
      <c r="DA44" t="e">
        <f>AND(#REF!,"AAAAAH/772g=")</f>
        <v>#REF!</v>
      </c>
      <c r="DB44" t="e">
        <f>AND(#REF!,"AAAAAH/772k=")</f>
        <v>#REF!</v>
      </c>
      <c r="DC44" t="e">
        <f>AND(#REF!,"AAAAAH/772o=")</f>
        <v>#REF!</v>
      </c>
      <c r="DD44" t="e">
        <f>AND(#REF!,"AAAAAH/772s=")</f>
        <v>#REF!</v>
      </c>
      <c r="DE44" t="e">
        <f>AND(#REF!,"AAAAAH/772w=")</f>
        <v>#REF!</v>
      </c>
      <c r="DF44" t="e">
        <f>AND(#REF!,"AAAAAH/7720=")</f>
        <v>#REF!</v>
      </c>
      <c r="DG44" t="e">
        <f>AND(#REF!,"AAAAAH/7724=")</f>
        <v>#REF!</v>
      </c>
      <c r="DH44" t="e">
        <f>IF(#REF!,"AAAAAH/7728=",0)</f>
        <v>#REF!</v>
      </c>
      <c r="DI44" t="e">
        <f>AND(#REF!,"AAAAAH/773A=")</f>
        <v>#REF!</v>
      </c>
      <c r="DJ44" t="e">
        <f>AND(#REF!,"AAAAAH/773E=")</f>
        <v>#REF!</v>
      </c>
      <c r="DK44" t="e">
        <f>AND(#REF!,"AAAAAH/773I=")</f>
        <v>#REF!</v>
      </c>
      <c r="DL44" t="e">
        <f>AND(#REF!,"AAAAAH/773M=")</f>
        <v>#REF!</v>
      </c>
      <c r="DM44" t="e">
        <f>AND(#REF!,"AAAAAH/773Q=")</f>
        <v>#REF!</v>
      </c>
      <c r="DN44" t="e">
        <f>AND(#REF!,"AAAAAH/773U=")</f>
        <v>#REF!</v>
      </c>
      <c r="DO44" t="e">
        <f>AND(#REF!,"AAAAAH/773Y=")</f>
        <v>#REF!</v>
      </c>
      <c r="DP44" t="e">
        <f>AND(#REF!,"AAAAAH/773c=")</f>
        <v>#REF!</v>
      </c>
      <c r="DQ44" t="e">
        <f>AND(#REF!,"AAAAAH/773g=")</f>
        <v>#REF!</v>
      </c>
      <c r="DR44" t="e">
        <f>AND(#REF!,"AAAAAH/773k=")</f>
        <v>#REF!</v>
      </c>
      <c r="DS44" t="e">
        <f>AND(#REF!,"AAAAAH/773o=")</f>
        <v>#REF!</v>
      </c>
      <c r="DT44" t="e">
        <f>AND(#REF!,"AAAAAH/773s=")</f>
        <v>#REF!</v>
      </c>
      <c r="DU44" t="e">
        <f>AND(#REF!,"AAAAAH/773w=")</f>
        <v>#REF!</v>
      </c>
      <c r="DV44" t="e">
        <f>IF(#REF!,"AAAAAH/7730=",0)</f>
        <v>#REF!</v>
      </c>
      <c r="DW44" t="e">
        <f>AND(#REF!,"AAAAAH/7734=")</f>
        <v>#REF!</v>
      </c>
      <c r="DX44" t="e">
        <f>AND(#REF!,"AAAAAH/7738=")</f>
        <v>#REF!</v>
      </c>
      <c r="DY44" t="e">
        <f>AND(#REF!,"AAAAAH/774A=")</f>
        <v>#REF!</v>
      </c>
      <c r="DZ44" t="e">
        <f>AND(#REF!,"AAAAAH/774E=")</f>
        <v>#REF!</v>
      </c>
      <c r="EA44" t="e">
        <f>AND(#REF!,"AAAAAH/774I=")</f>
        <v>#REF!</v>
      </c>
      <c r="EB44" t="e">
        <f>AND(#REF!,"AAAAAH/774M=")</f>
        <v>#REF!</v>
      </c>
      <c r="EC44" t="e">
        <f>AND(#REF!,"AAAAAH/774Q=")</f>
        <v>#REF!</v>
      </c>
      <c r="ED44" t="e">
        <f>AND(#REF!,"AAAAAH/774U=")</f>
        <v>#REF!</v>
      </c>
      <c r="EE44" t="e">
        <f>AND(#REF!,"AAAAAH/774Y=")</f>
        <v>#REF!</v>
      </c>
      <c r="EF44" t="e">
        <f>AND(#REF!,"AAAAAH/774c=")</f>
        <v>#REF!</v>
      </c>
      <c r="EG44" t="e">
        <f>AND(#REF!,"AAAAAH/774g=")</f>
        <v>#REF!</v>
      </c>
      <c r="EH44" t="e">
        <f>AND(#REF!,"AAAAAH/774k=")</f>
        <v>#REF!</v>
      </c>
      <c r="EI44" t="e">
        <f>AND(#REF!,"AAAAAH/774o=")</f>
        <v>#REF!</v>
      </c>
      <c r="EJ44" t="e">
        <f>IF(#REF!,"AAAAAH/774s=",0)</f>
        <v>#REF!</v>
      </c>
      <c r="EK44" t="e">
        <f>AND(#REF!,"AAAAAH/774w=")</f>
        <v>#REF!</v>
      </c>
      <c r="EL44" t="e">
        <f>AND(#REF!,"AAAAAH/7740=")</f>
        <v>#REF!</v>
      </c>
      <c r="EM44" t="e">
        <f>AND(#REF!,"AAAAAH/7744=")</f>
        <v>#REF!</v>
      </c>
      <c r="EN44" t="e">
        <f>AND(#REF!,"AAAAAH/7748=")</f>
        <v>#REF!</v>
      </c>
      <c r="EO44" t="e">
        <f>AND(#REF!,"AAAAAH/775A=")</f>
        <v>#REF!</v>
      </c>
      <c r="EP44" t="e">
        <f>AND(#REF!,"AAAAAH/775E=")</f>
        <v>#REF!</v>
      </c>
      <c r="EQ44" t="e">
        <f>AND(#REF!,"AAAAAH/775I=")</f>
        <v>#REF!</v>
      </c>
      <c r="ER44" t="e">
        <f>AND(#REF!,"AAAAAH/775M=")</f>
        <v>#REF!</v>
      </c>
      <c r="ES44" t="e">
        <f>AND(#REF!,"AAAAAH/775Q=")</f>
        <v>#REF!</v>
      </c>
      <c r="ET44" t="e">
        <f>AND(#REF!,"AAAAAH/775U=")</f>
        <v>#REF!</v>
      </c>
      <c r="EU44" t="e">
        <f>AND(#REF!,"AAAAAH/775Y=")</f>
        <v>#REF!</v>
      </c>
      <c r="EV44" t="e">
        <f>AND(#REF!,"AAAAAH/775c=")</f>
        <v>#REF!</v>
      </c>
      <c r="EW44" t="e">
        <f>AND(#REF!,"AAAAAH/775g=")</f>
        <v>#REF!</v>
      </c>
      <c r="EX44" t="e">
        <f>IF(#REF!,"AAAAAH/775k=",0)</f>
        <v>#REF!</v>
      </c>
      <c r="EY44" t="e">
        <f>AND(#REF!,"AAAAAH/775o=")</f>
        <v>#REF!</v>
      </c>
      <c r="EZ44" t="e">
        <f>AND(#REF!,"AAAAAH/775s=")</f>
        <v>#REF!</v>
      </c>
      <c r="FA44" t="e">
        <f>AND(#REF!,"AAAAAH/775w=")</f>
        <v>#REF!</v>
      </c>
      <c r="FB44" t="e">
        <f>AND(#REF!,"AAAAAH/7750=")</f>
        <v>#REF!</v>
      </c>
      <c r="FC44" t="e">
        <f>AND(#REF!,"AAAAAH/7754=")</f>
        <v>#REF!</v>
      </c>
      <c r="FD44" t="e">
        <f>AND(#REF!,"AAAAAH/7758=")</f>
        <v>#REF!</v>
      </c>
      <c r="FE44" t="e">
        <f>AND(#REF!,"AAAAAH/776A=")</f>
        <v>#REF!</v>
      </c>
      <c r="FF44" t="e">
        <f>AND(#REF!,"AAAAAH/776E=")</f>
        <v>#REF!</v>
      </c>
      <c r="FG44" t="e">
        <f>AND(#REF!,"AAAAAH/776I=")</f>
        <v>#REF!</v>
      </c>
      <c r="FH44" t="e">
        <f>AND(#REF!,"AAAAAH/776M=")</f>
        <v>#REF!</v>
      </c>
      <c r="FI44" t="e">
        <f>AND(#REF!,"AAAAAH/776Q=")</f>
        <v>#REF!</v>
      </c>
      <c r="FJ44" t="e">
        <f>AND(#REF!,"AAAAAH/776U=")</f>
        <v>#REF!</v>
      </c>
      <c r="FK44" t="e">
        <f>AND(#REF!,"AAAAAH/776Y=")</f>
        <v>#REF!</v>
      </c>
      <c r="FL44" t="e">
        <f>IF(#REF!,"AAAAAH/776c=",0)</f>
        <v>#REF!</v>
      </c>
      <c r="FM44" t="e">
        <f>AND(#REF!,"AAAAAH/776g=")</f>
        <v>#REF!</v>
      </c>
      <c r="FN44" t="e">
        <f>AND(#REF!,"AAAAAH/776k=")</f>
        <v>#REF!</v>
      </c>
      <c r="FO44" t="e">
        <f>AND(#REF!,"AAAAAH/776o=")</f>
        <v>#REF!</v>
      </c>
      <c r="FP44" t="e">
        <f>AND(#REF!,"AAAAAH/776s=")</f>
        <v>#REF!</v>
      </c>
      <c r="FQ44" t="e">
        <f>AND(#REF!,"AAAAAH/776w=")</f>
        <v>#REF!</v>
      </c>
      <c r="FR44" t="e">
        <f>AND(#REF!,"AAAAAH/7760=")</f>
        <v>#REF!</v>
      </c>
      <c r="FS44" t="e">
        <f>AND(#REF!,"AAAAAH/7764=")</f>
        <v>#REF!</v>
      </c>
      <c r="FT44" t="e">
        <f>AND(#REF!,"AAAAAH/7768=")</f>
        <v>#REF!</v>
      </c>
      <c r="FU44" t="e">
        <f>AND(#REF!,"AAAAAH/777A=")</f>
        <v>#REF!</v>
      </c>
      <c r="FV44" t="e">
        <f>AND(#REF!,"AAAAAH/777E=")</f>
        <v>#REF!</v>
      </c>
      <c r="FW44" t="e">
        <f>AND(#REF!,"AAAAAH/777I=")</f>
        <v>#REF!</v>
      </c>
      <c r="FX44" t="e">
        <f>AND(#REF!,"AAAAAH/777M=")</f>
        <v>#REF!</v>
      </c>
      <c r="FY44" t="e">
        <f>AND(#REF!,"AAAAAH/777Q=")</f>
        <v>#REF!</v>
      </c>
      <c r="FZ44" t="e">
        <f>IF(#REF!,"AAAAAH/777U=",0)</f>
        <v>#REF!</v>
      </c>
      <c r="GA44" t="e">
        <f>AND(#REF!,"AAAAAH/777Y=")</f>
        <v>#REF!</v>
      </c>
      <c r="GB44" t="e">
        <f>AND(#REF!,"AAAAAH/777c=")</f>
        <v>#REF!</v>
      </c>
      <c r="GC44" t="e">
        <f>AND(#REF!,"AAAAAH/777g=")</f>
        <v>#REF!</v>
      </c>
      <c r="GD44" t="e">
        <f>AND(#REF!,"AAAAAH/777k=")</f>
        <v>#REF!</v>
      </c>
      <c r="GE44" t="e">
        <f>AND(#REF!,"AAAAAH/777o=")</f>
        <v>#REF!</v>
      </c>
      <c r="GF44" t="e">
        <f>AND(#REF!,"AAAAAH/777s=")</f>
        <v>#REF!</v>
      </c>
      <c r="GG44" t="e">
        <f>AND(#REF!,"AAAAAH/777w=")</f>
        <v>#REF!</v>
      </c>
      <c r="GH44" t="e">
        <f>AND(#REF!,"AAAAAH/7770=")</f>
        <v>#REF!</v>
      </c>
      <c r="GI44" t="e">
        <f>AND(#REF!,"AAAAAH/7774=")</f>
        <v>#REF!</v>
      </c>
      <c r="GJ44" t="e">
        <f>AND(#REF!,"AAAAAH/7778=")</f>
        <v>#REF!</v>
      </c>
      <c r="GK44" t="e">
        <f>AND(#REF!,"AAAAAH/778A=")</f>
        <v>#REF!</v>
      </c>
      <c r="GL44" t="e">
        <f>AND(#REF!,"AAAAAH/778E=")</f>
        <v>#REF!</v>
      </c>
      <c r="GM44" t="e">
        <f>AND(#REF!,"AAAAAH/778I=")</f>
        <v>#REF!</v>
      </c>
      <c r="GN44" t="e">
        <f>IF(#REF!,"AAAAAH/778M=",0)</f>
        <v>#REF!</v>
      </c>
      <c r="GO44" t="e">
        <f>AND(#REF!,"AAAAAH/778Q=")</f>
        <v>#REF!</v>
      </c>
      <c r="GP44" t="e">
        <f>AND(#REF!,"AAAAAH/778U=")</f>
        <v>#REF!</v>
      </c>
      <c r="GQ44" t="e">
        <f>AND(#REF!,"AAAAAH/778Y=")</f>
        <v>#REF!</v>
      </c>
      <c r="GR44" t="e">
        <f>AND(#REF!,"AAAAAH/778c=")</f>
        <v>#REF!</v>
      </c>
      <c r="GS44" t="e">
        <f>AND(#REF!,"AAAAAH/778g=")</f>
        <v>#REF!</v>
      </c>
      <c r="GT44" t="e">
        <f>AND(#REF!,"AAAAAH/778k=")</f>
        <v>#REF!</v>
      </c>
      <c r="GU44" t="e">
        <f>AND(#REF!,"AAAAAH/778o=")</f>
        <v>#REF!</v>
      </c>
      <c r="GV44" t="e">
        <f>AND(#REF!,"AAAAAH/778s=")</f>
        <v>#REF!</v>
      </c>
      <c r="GW44" t="e">
        <f>AND(#REF!,"AAAAAH/778w=")</f>
        <v>#REF!</v>
      </c>
      <c r="GX44" t="e">
        <f>AND(#REF!,"AAAAAH/7780=")</f>
        <v>#REF!</v>
      </c>
      <c r="GY44" t="e">
        <f>AND(#REF!,"AAAAAH/7784=")</f>
        <v>#REF!</v>
      </c>
      <c r="GZ44" t="e">
        <f>AND(#REF!,"AAAAAH/7788=")</f>
        <v>#REF!</v>
      </c>
      <c r="HA44" t="e">
        <f>AND(#REF!,"AAAAAH/779A=")</f>
        <v>#REF!</v>
      </c>
      <c r="HB44" t="e">
        <f>IF(#REF!,"AAAAAH/779E=",0)</f>
        <v>#REF!</v>
      </c>
      <c r="HC44" t="e">
        <f>AND(#REF!,"AAAAAH/779I=")</f>
        <v>#REF!</v>
      </c>
      <c r="HD44" t="e">
        <f>AND(#REF!,"AAAAAH/779M=")</f>
        <v>#REF!</v>
      </c>
      <c r="HE44" t="e">
        <f>AND(#REF!,"AAAAAH/779Q=")</f>
        <v>#REF!</v>
      </c>
      <c r="HF44" t="e">
        <f>AND(#REF!,"AAAAAH/779U=")</f>
        <v>#REF!</v>
      </c>
      <c r="HG44" t="e">
        <f>AND(#REF!,"AAAAAH/779Y=")</f>
        <v>#REF!</v>
      </c>
      <c r="HH44" t="e">
        <f>AND(#REF!,"AAAAAH/779c=")</f>
        <v>#REF!</v>
      </c>
      <c r="HI44" t="e">
        <f>AND(#REF!,"AAAAAH/779g=")</f>
        <v>#REF!</v>
      </c>
      <c r="HJ44" t="e">
        <f>AND(#REF!,"AAAAAH/779k=")</f>
        <v>#REF!</v>
      </c>
      <c r="HK44" t="e">
        <f>IF(#REF!,"AAAAAH/779o=",0)</f>
        <v>#REF!</v>
      </c>
      <c r="HL44" t="e">
        <f>AND(#REF!,"AAAAAH/779s=")</f>
        <v>#REF!</v>
      </c>
      <c r="HM44" t="e">
        <f>AND(#REF!,"AAAAAH/779w=")</f>
        <v>#REF!</v>
      </c>
      <c r="HN44" t="e">
        <f>AND(#REF!,"AAAAAH/7790=")</f>
        <v>#REF!</v>
      </c>
      <c r="HO44" t="e">
        <f>AND(#REF!,"AAAAAH/7794=")</f>
        <v>#REF!</v>
      </c>
      <c r="HP44" t="e">
        <f>AND(#REF!,"AAAAAH/7798=")</f>
        <v>#REF!</v>
      </c>
      <c r="HQ44" t="e">
        <f>AND(#REF!,"AAAAAH/77+A=")</f>
        <v>#REF!</v>
      </c>
      <c r="HR44" t="e">
        <f>AND(#REF!,"AAAAAH/77+E=")</f>
        <v>#REF!</v>
      </c>
      <c r="HS44" t="e">
        <f>AND(#REF!,"AAAAAH/77+I=")</f>
        <v>#REF!</v>
      </c>
      <c r="HT44" t="e">
        <f>IF(#REF!,"AAAAAH/77+M=",0)</f>
        <v>#REF!</v>
      </c>
      <c r="HU44" t="e">
        <f>AND(#REF!,"AAAAAH/77+Q=")</f>
        <v>#REF!</v>
      </c>
      <c r="HV44" t="e">
        <f>AND(#REF!,"AAAAAH/77+U=")</f>
        <v>#REF!</v>
      </c>
      <c r="HW44" t="e">
        <f>AND(#REF!,"AAAAAH/77+Y=")</f>
        <v>#REF!</v>
      </c>
      <c r="HX44" t="e">
        <f>AND(#REF!,"AAAAAH/77+c=")</f>
        <v>#REF!</v>
      </c>
      <c r="HY44" t="e">
        <f>AND(#REF!,"AAAAAH/77+g=")</f>
        <v>#REF!</v>
      </c>
      <c r="HZ44" t="e">
        <f>AND(#REF!,"AAAAAH/77+k=")</f>
        <v>#REF!</v>
      </c>
      <c r="IA44" t="e">
        <f>AND(#REF!,"AAAAAH/77+o=")</f>
        <v>#REF!</v>
      </c>
      <c r="IB44" t="e">
        <f>AND(#REF!,"AAAAAH/77+s=")</f>
        <v>#REF!</v>
      </c>
      <c r="IC44" t="e">
        <f>IF(#REF!,"AAAAAH/77+w=",0)</f>
        <v>#REF!</v>
      </c>
      <c r="ID44" t="e">
        <f>AND(#REF!,"AAAAAH/77+0=")</f>
        <v>#REF!</v>
      </c>
      <c r="IE44" t="e">
        <f>AND(#REF!,"AAAAAH/77+4=")</f>
        <v>#REF!</v>
      </c>
      <c r="IF44" t="e">
        <f>AND(#REF!,"AAAAAH/77+8=")</f>
        <v>#REF!</v>
      </c>
      <c r="IG44" t="e">
        <f>AND(#REF!,"AAAAAH/77/A=")</f>
        <v>#REF!</v>
      </c>
      <c r="IH44" t="e">
        <f>AND(#REF!,"AAAAAH/77/E=")</f>
        <v>#REF!</v>
      </c>
      <c r="II44" t="e">
        <f>AND(#REF!,"AAAAAH/77/I=")</f>
        <v>#REF!</v>
      </c>
      <c r="IJ44" t="e">
        <f>AND(#REF!,"AAAAAH/77/M=")</f>
        <v>#REF!</v>
      </c>
      <c r="IK44" t="e">
        <f>AND(#REF!,"AAAAAH/77/Q=")</f>
        <v>#REF!</v>
      </c>
      <c r="IL44" t="e">
        <f>IF(#REF!,"AAAAAH/77/U=",0)</f>
        <v>#REF!</v>
      </c>
      <c r="IM44" t="e">
        <f>AND(#REF!,"AAAAAH/77/Y=")</f>
        <v>#REF!</v>
      </c>
      <c r="IN44" t="e">
        <f>AND(#REF!,"AAAAAH/77/c=")</f>
        <v>#REF!</v>
      </c>
      <c r="IO44" t="e">
        <f>AND(#REF!,"AAAAAH/77/g=")</f>
        <v>#REF!</v>
      </c>
      <c r="IP44" t="e">
        <f>AND(#REF!,"AAAAAH/77/k=")</f>
        <v>#REF!</v>
      </c>
      <c r="IQ44" t="e">
        <f>AND(#REF!,"AAAAAH/77/o=")</f>
        <v>#REF!</v>
      </c>
      <c r="IR44" t="e">
        <f>AND(#REF!,"AAAAAH/77/s=")</f>
        <v>#REF!</v>
      </c>
      <c r="IS44" t="e">
        <f>AND(#REF!,"AAAAAH/77/w=")</f>
        <v>#REF!</v>
      </c>
      <c r="IT44" t="e">
        <f>AND(#REF!,"AAAAAH/77/0=")</f>
        <v>#REF!</v>
      </c>
      <c r="IU44" t="e">
        <f>IF(#REF!,"AAAAAH/77/4=",0)</f>
        <v>#REF!</v>
      </c>
      <c r="IV44" t="e">
        <f>AND(#REF!,"AAAAAH/77/8=")</f>
        <v>#REF!</v>
      </c>
    </row>
    <row r="45" spans="1:256" x14ac:dyDescent="0.2">
      <c r="A45" t="e">
        <f>AND(#REF!,"AAAAAHj2/wA=")</f>
        <v>#REF!</v>
      </c>
      <c r="B45" t="e">
        <f>AND(#REF!,"AAAAAHj2/wE=")</f>
        <v>#REF!</v>
      </c>
      <c r="C45" t="e">
        <f>AND(#REF!,"AAAAAHj2/wI=")</f>
        <v>#REF!</v>
      </c>
      <c r="D45" t="e">
        <f>AND(#REF!,"AAAAAHj2/wM=")</f>
        <v>#REF!</v>
      </c>
      <c r="E45" t="e">
        <f>AND(#REF!,"AAAAAHj2/wQ=")</f>
        <v>#REF!</v>
      </c>
      <c r="F45" t="e">
        <f>AND(#REF!,"AAAAAHj2/wU=")</f>
        <v>#REF!</v>
      </c>
      <c r="G45" t="e">
        <f>AND(#REF!,"AAAAAHj2/wY=")</f>
        <v>#REF!</v>
      </c>
      <c r="H45" t="e">
        <f>IF(#REF!,"AAAAAHj2/wc=",0)</f>
        <v>#REF!</v>
      </c>
      <c r="I45" t="e">
        <f>AND(#REF!,"AAAAAHj2/wg=")</f>
        <v>#REF!</v>
      </c>
      <c r="J45" t="e">
        <f>AND(#REF!,"AAAAAHj2/wk=")</f>
        <v>#REF!</v>
      </c>
      <c r="K45" t="e">
        <f>AND(#REF!,"AAAAAHj2/wo=")</f>
        <v>#REF!</v>
      </c>
      <c r="L45" t="e">
        <f>AND(#REF!,"AAAAAHj2/ws=")</f>
        <v>#REF!</v>
      </c>
      <c r="M45" t="e">
        <f>AND(#REF!,"AAAAAHj2/ww=")</f>
        <v>#REF!</v>
      </c>
      <c r="N45" t="e">
        <f>AND(#REF!,"AAAAAHj2/w0=")</f>
        <v>#REF!</v>
      </c>
      <c r="O45" t="e">
        <f>AND(#REF!,"AAAAAHj2/w4=")</f>
        <v>#REF!</v>
      </c>
      <c r="P45" t="e">
        <f>AND(#REF!,"AAAAAHj2/w8=")</f>
        <v>#REF!</v>
      </c>
      <c r="Q45" t="e">
        <f>IF(#REF!,"AAAAAHj2/xA=",0)</f>
        <v>#REF!</v>
      </c>
      <c r="R45" t="e">
        <f>AND(#REF!,"AAAAAHj2/xE=")</f>
        <v>#REF!</v>
      </c>
      <c r="S45" t="e">
        <f>AND(#REF!,"AAAAAHj2/xI=")</f>
        <v>#REF!</v>
      </c>
      <c r="T45" t="e">
        <f>AND(#REF!,"AAAAAHj2/xM=")</f>
        <v>#REF!</v>
      </c>
      <c r="U45" t="e">
        <f>AND(#REF!,"AAAAAHj2/xQ=")</f>
        <v>#REF!</v>
      </c>
      <c r="V45" t="e">
        <f>AND(#REF!,"AAAAAHj2/xU=")</f>
        <v>#REF!</v>
      </c>
      <c r="W45" t="e">
        <f>AND(#REF!,"AAAAAHj2/xY=")</f>
        <v>#REF!</v>
      </c>
      <c r="X45" t="e">
        <f>AND(#REF!,"AAAAAHj2/xc=")</f>
        <v>#REF!</v>
      </c>
      <c r="Y45" t="e">
        <f>AND(#REF!,"AAAAAHj2/xg=")</f>
        <v>#REF!</v>
      </c>
      <c r="Z45" t="e">
        <f>IF(#REF!,"AAAAAHj2/xk=",0)</f>
        <v>#REF!</v>
      </c>
      <c r="AA45" t="e">
        <f>AND(#REF!,"AAAAAHj2/xo=")</f>
        <v>#REF!</v>
      </c>
      <c r="AB45" t="e">
        <f>AND(#REF!,"AAAAAHj2/xs=")</f>
        <v>#REF!</v>
      </c>
      <c r="AC45" t="e">
        <f>AND(#REF!,"AAAAAHj2/xw=")</f>
        <v>#REF!</v>
      </c>
      <c r="AD45" t="e">
        <f>AND(#REF!,"AAAAAHj2/x0=")</f>
        <v>#REF!</v>
      </c>
      <c r="AE45" t="e">
        <f>AND(#REF!,"AAAAAHj2/x4=")</f>
        <v>#REF!</v>
      </c>
      <c r="AF45" t="e">
        <f>AND(#REF!,"AAAAAHj2/x8=")</f>
        <v>#REF!</v>
      </c>
      <c r="AG45" t="e">
        <f>AND(#REF!,"AAAAAHj2/yA=")</f>
        <v>#REF!</v>
      </c>
      <c r="AH45" t="e">
        <f>AND(#REF!,"AAAAAHj2/yE=")</f>
        <v>#REF!</v>
      </c>
      <c r="AI45" t="e">
        <f>IF(#REF!,"AAAAAHj2/yI=",0)</f>
        <v>#REF!</v>
      </c>
      <c r="AJ45" t="e">
        <f>AND(#REF!,"AAAAAHj2/yM=")</f>
        <v>#REF!</v>
      </c>
      <c r="AK45" t="e">
        <f>AND(#REF!,"AAAAAHj2/yQ=")</f>
        <v>#REF!</v>
      </c>
      <c r="AL45" t="e">
        <f>AND(#REF!,"AAAAAHj2/yU=")</f>
        <v>#REF!</v>
      </c>
      <c r="AM45" t="e">
        <f>AND(#REF!,"AAAAAHj2/yY=")</f>
        <v>#REF!</v>
      </c>
      <c r="AN45" t="e">
        <f>AND(#REF!,"AAAAAHj2/yc=")</f>
        <v>#REF!</v>
      </c>
      <c r="AO45" t="e">
        <f>AND(#REF!,"AAAAAHj2/yg=")</f>
        <v>#REF!</v>
      </c>
      <c r="AP45" t="e">
        <f>AND(#REF!,"AAAAAHj2/yk=")</f>
        <v>#REF!</v>
      </c>
      <c r="AQ45" t="e">
        <f>AND(#REF!,"AAAAAHj2/yo=")</f>
        <v>#REF!</v>
      </c>
      <c r="AR45" t="e">
        <f>IF(#REF!,"AAAAAHj2/ys=",0)</f>
        <v>#REF!</v>
      </c>
      <c r="AS45" t="e">
        <f>AND(#REF!,"AAAAAHj2/yw=")</f>
        <v>#REF!</v>
      </c>
      <c r="AT45" t="e">
        <f>AND(#REF!,"AAAAAHj2/y0=")</f>
        <v>#REF!</v>
      </c>
      <c r="AU45" t="e">
        <f>AND(#REF!,"AAAAAHj2/y4=")</f>
        <v>#REF!</v>
      </c>
      <c r="AV45" t="e">
        <f>AND(#REF!,"AAAAAHj2/y8=")</f>
        <v>#REF!</v>
      </c>
      <c r="AW45" t="e">
        <f>AND(#REF!,"AAAAAHj2/zA=")</f>
        <v>#REF!</v>
      </c>
      <c r="AX45" t="e">
        <f>AND(#REF!,"AAAAAHj2/zE=")</f>
        <v>#REF!</v>
      </c>
      <c r="AY45" t="e">
        <f>AND(#REF!,"AAAAAHj2/zI=")</f>
        <v>#REF!</v>
      </c>
      <c r="AZ45" t="e">
        <f>AND(#REF!,"AAAAAHj2/zM=")</f>
        <v>#REF!</v>
      </c>
      <c r="BA45" t="e">
        <f>IF(#REF!,"AAAAAHj2/zQ=",0)</f>
        <v>#REF!</v>
      </c>
      <c r="BB45" t="e">
        <f>AND(#REF!,"AAAAAHj2/zU=")</f>
        <v>#REF!</v>
      </c>
      <c r="BC45" t="e">
        <f>AND(#REF!,"AAAAAHj2/zY=")</f>
        <v>#REF!</v>
      </c>
      <c r="BD45" t="e">
        <f>AND(#REF!,"AAAAAHj2/zc=")</f>
        <v>#REF!</v>
      </c>
      <c r="BE45" t="e">
        <f>AND(#REF!,"AAAAAHj2/zg=")</f>
        <v>#REF!</v>
      </c>
      <c r="BF45" t="e">
        <f>AND(#REF!,"AAAAAHj2/zk=")</f>
        <v>#REF!</v>
      </c>
      <c r="BG45" t="e">
        <f>AND(#REF!,"AAAAAHj2/zo=")</f>
        <v>#REF!</v>
      </c>
      <c r="BH45" t="e">
        <f>AND(#REF!,"AAAAAHj2/zs=")</f>
        <v>#REF!</v>
      </c>
      <c r="BI45" t="e">
        <f>AND(#REF!,"AAAAAHj2/zw=")</f>
        <v>#REF!</v>
      </c>
      <c r="BJ45" t="e">
        <f>IF(#REF!,"AAAAAHj2/z0=",0)</f>
        <v>#REF!</v>
      </c>
      <c r="BK45" t="e">
        <f>AND(#REF!,"AAAAAHj2/z4=")</f>
        <v>#REF!</v>
      </c>
      <c r="BL45" t="e">
        <f>AND(#REF!,"AAAAAHj2/z8=")</f>
        <v>#REF!</v>
      </c>
      <c r="BM45" t="e">
        <f>AND(#REF!,"AAAAAHj2/0A=")</f>
        <v>#REF!</v>
      </c>
      <c r="BN45" t="e">
        <f>AND(#REF!,"AAAAAHj2/0E=")</f>
        <v>#REF!</v>
      </c>
      <c r="BO45" t="e">
        <f>AND(#REF!,"AAAAAHj2/0I=")</f>
        <v>#REF!</v>
      </c>
      <c r="BP45" t="e">
        <f>AND(#REF!,"AAAAAHj2/0M=")</f>
        <v>#REF!</v>
      </c>
      <c r="BQ45" t="e">
        <f>AND(#REF!,"AAAAAHj2/0Q=")</f>
        <v>#REF!</v>
      </c>
      <c r="BR45" t="e">
        <f>AND(#REF!,"AAAAAHj2/0U=")</f>
        <v>#REF!</v>
      </c>
      <c r="BS45" t="e">
        <f>IF(#REF!,"AAAAAHj2/0Y=",0)</f>
        <v>#REF!</v>
      </c>
      <c r="BT45" t="e">
        <f>AND(#REF!,"AAAAAHj2/0c=")</f>
        <v>#REF!</v>
      </c>
      <c r="BU45" t="e">
        <f>AND(#REF!,"AAAAAHj2/0g=")</f>
        <v>#REF!</v>
      </c>
      <c r="BV45" t="e">
        <f>AND(#REF!,"AAAAAHj2/0k=")</f>
        <v>#REF!</v>
      </c>
      <c r="BW45" t="e">
        <f>AND(#REF!,"AAAAAHj2/0o=")</f>
        <v>#REF!</v>
      </c>
      <c r="BX45" t="e">
        <f>AND(#REF!,"AAAAAHj2/0s=")</f>
        <v>#REF!</v>
      </c>
      <c r="BY45" t="e">
        <f>AND(#REF!,"AAAAAHj2/0w=")</f>
        <v>#REF!</v>
      </c>
      <c r="BZ45" t="e">
        <f>AND(#REF!,"AAAAAHj2/00=")</f>
        <v>#REF!</v>
      </c>
      <c r="CA45" t="e">
        <f>AND(#REF!,"AAAAAHj2/04=")</f>
        <v>#REF!</v>
      </c>
      <c r="CB45" t="e">
        <f>IF(#REF!,"AAAAAHj2/08=",0)</f>
        <v>#REF!</v>
      </c>
      <c r="CC45" t="e">
        <f>AND(#REF!,"AAAAAHj2/1A=")</f>
        <v>#REF!</v>
      </c>
      <c r="CD45" t="e">
        <f>AND(#REF!,"AAAAAHj2/1E=")</f>
        <v>#REF!</v>
      </c>
      <c r="CE45" t="e">
        <f>AND(#REF!,"AAAAAHj2/1I=")</f>
        <v>#REF!</v>
      </c>
      <c r="CF45" t="e">
        <f>AND(#REF!,"AAAAAHj2/1M=")</f>
        <v>#REF!</v>
      </c>
      <c r="CG45" t="e">
        <f>AND(#REF!,"AAAAAHj2/1Q=")</f>
        <v>#REF!</v>
      </c>
      <c r="CH45" t="e">
        <f>AND(#REF!,"AAAAAHj2/1U=")</f>
        <v>#REF!</v>
      </c>
      <c r="CI45" t="e">
        <f>AND(#REF!,"AAAAAHj2/1Y=")</f>
        <v>#REF!</v>
      </c>
      <c r="CJ45" t="e">
        <f>AND(#REF!,"AAAAAHj2/1c=")</f>
        <v>#REF!</v>
      </c>
      <c r="CK45" t="e">
        <f>IF(#REF!,"AAAAAHj2/1g=",0)</f>
        <v>#REF!</v>
      </c>
      <c r="CL45" t="e">
        <f>AND(#REF!,"AAAAAHj2/1k=")</f>
        <v>#REF!</v>
      </c>
      <c r="CM45" t="e">
        <f>AND(#REF!,"AAAAAHj2/1o=")</f>
        <v>#REF!</v>
      </c>
      <c r="CN45" t="e">
        <f>AND(#REF!,"AAAAAHj2/1s=")</f>
        <v>#REF!</v>
      </c>
      <c r="CO45" t="e">
        <f>AND(#REF!,"AAAAAHj2/1w=")</f>
        <v>#REF!</v>
      </c>
      <c r="CP45" t="e">
        <f>AND(#REF!,"AAAAAHj2/10=")</f>
        <v>#REF!</v>
      </c>
      <c r="CQ45" t="e">
        <f>AND(#REF!,"AAAAAHj2/14=")</f>
        <v>#REF!</v>
      </c>
      <c r="CR45" t="e">
        <f>AND(#REF!,"AAAAAHj2/18=")</f>
        <v>#REF!</v>
      </c>
      <c r="CS45" t="e">
        <f>AND(#REF!,"AAAAAHj2/2A=")</f>
        <v>#REF!</v>
      </c>
      <c r="CT45" t="e">
        <f>IF(#REF!,"AAAAAHj2/2E=",0)</f>
        <v>#REF!</v>
      </c>
      <c r="CU45" t="e">
        <f>AND(#REF!,"AAAAAHj2/2I=")</f>
        <v>#REF!</v>
      </c>
      <c r="CV45" t="e">
        <f>AND(#REF!,"AAAAAHj2/2M=")</f>
        <v>#REF!</v>
      </c>
      <c r="CW45" t="e">
        <f>AND(#REF!,"AAAAAHj2/2Q=")</f>
        <v>#REF!</v>
      </c>
      <c r="CX45" t="e">
        <f>AND(#REF!,"AAAAAHj2/2U=")</f>
        <v>#REF!</v>
      </c>
      <c r="CY45" t="e">
        <f>AND(#REF!,"AAAAAHj2/2Y=")</f>
        <v>#REF!</v>
      </c>
      <c r="CZ45" t="e">
        <f>AND(#REF!,"AAAAAHj2/2c=")</f>
        <v>#REF!</v>
      </c>
      <c r="DA45" t="e">
        <f>AND(#REF!,"AAAAAHj2/2g=")</f>
        <v>#REF!</v>
      </c>
      <c r="DB45" t="e">
        <f>AND(#REF!,"AAAAAHj2/2k=")</f>
        <v>#REF!</v>
      </c>
      <c r="DC45" t="e">
        <f>IF(#REF!,"AAAAAHj2/2o=",0)</f>
        <v>#REF!</v>
      </c>
      <c r="DD45" t="e">
        <f>AND(#REF!,"AAAAAHj2/2s=")</f>
        <v>#REF!</v>
      </c>
      <c r="DE45" t="e">
        <f>AND(#REF!,"AAAAAHj2/2w=")</f>
        <v>#REF!</v>
      </c>
      <c r="DF45" t="e">
        <f>AND(#REF!,"AAAAAHj2/20=")</f>
        <v>#REF!</v>
      </c>
      <c r="DG45" t="e">
        <f>AND(#REF!,"AAAAAHj2/24=")</f>
        <v>#REF!</v>
      </c>
      <c r="DH45" t="e">
        <f>AND(#REF!,"AAAAAHj2/28=")</f>
        <v>#REF!</v>
      </c>
      <c r="DI45" t="e">
        <f>AND(#REF!,"AAAAAHj2/3A=")</f>
        <v>#REF!</v>
      </c>
      <c r="DJ45" t="e">
        <f>AND(#REF!,"AAAAAHj2/3E=")</f>
        <v>#REF!</v>
      </c>
      <c r="DK45" t="e">
        <f>AND(#REF!,"AAAAAHj2/3I=")</f>
        <v>#REF!</v>
      </c>
      <c r="DL45" t="e">
        <f>IF(#REF!,"AAAAAHj2/3M=",0)</f>
        <v>#REF!</v>
      </c>
      <c r="DM45" t="e">
        <f>AND(#REF!,"AAAAAHj2/3Q=")</f>
        <v>#REF!</v>
      </c>
      <c r="DN45" t="e">
        <f>AND(#REF!,"AAAAAHj2/3U=")</f>
        <v>#REF!</v>
      </c>
      <c r="DO45" t="e">
        <f>AND(#REF!,"AAAAAHj2/3Y=")</f>
        <v>#REF!</v>
      </c>
      <c r="DP45" t="e">
        <f>AND(#REF!,"AAAAAHj2/3c=")</f>
        <v>#REF!</v>
      </c>
      <c r="DQ45" t="e">
        <f>AND(#REF!,"AAAAAHj2/3g=")</f>
        <v>#REF!</v>
      </c>
      <c r="DR45" t="e">
        <f>AND(#REF!,"AAAAAHj2/3k=")</f>
        <v>#REF!</v>
      </c>
      <c r="DS45" t="e">
        <f>AND(#REF!,"AAAAAHj2/3o=")</f>
        <v>#REF!</v>
      </c>
      <c r="DT45" t="e">
        <f>AND(#REF!,"AAAAAHj2/3s=")</f>
        <v>#REF!</v>
      </c>
      <c r="DU45" t="e">
        <f>IF(#REF!,"AAAAAHj2/3w=",0)</f>
        <v>#REF!</v>
      </c>
      <c r="DV45" t="e">
        <f>AND(#REF!,"AAAAAHj2/30=")</f>
        <v>#REF!</v>
      </c>
      <c r="DW45" t="e">
        <f>AND(#REF!,"AAAAAHj2/34=")</f>
        <v>#REF!</v>
      </c>
      <c r="DX45" t="e">
        <f>AND(#REF!,"AAAAAHj2/38=")</f>
        <v>#REF!</v>
      </c>
      <c r="DY45" t="e">
        <f>AND(#REF!,"AAAAAHj2/4A=")</f>
        <v>#REF!</v>
      </c>
      <c r="DZ45" t="e">
        <f>AND(#REF!,"AAAAAHj2/4E=")</f>
        <v>#REF!</v>
      </c>
      <c r="EA45" t="e">
        <f>AND(#REF!,"AAAAAHj2/4I=")</f>
        <v>#REF!</v>
      </c>
      <c r="EB45" t="e">
        <f>AND(#REF!,"AAAAAHj2/4M=")</f>
        <v>#REF!</v>
      </c>
      <c r="EC45" t="e">
        <f>AND(#REF!,"AAAAAHj2/4Q=")</f>
        <v>#REF!</v>
      </c>
      <c r="ED45" t="e">
        <f>IF(#REF!,"AAAAAHj2/4U=",0)</f>
        <v>#REF!</v>
      </c>
      <c r="EE45" t="e">
        <f>AND(#REF!,"AAAAAHj2/4Y=")</f>
        <v>#REF!</v>
      </c>
      <c r="EF45" t="e">
        <f>AND(#REF!,"AAAAAHj2/4c=")</f>
        <v>#REF!</v>
      </c>
      <c r="EG45" t="e">
        <f>AND(#REF!,"AAAAAHj2/4g=")</f>
        <v>#REF!</v>
      </c>
      <c r="EH45" t="e">
        <f>AND(#REF!,"AAAAAHj2/4k=")</f>
        <v>#REF!</v>
      </c>
      <c r="EI45" t="e">
        <f>AND(#REF!,"AAAAAHj2/4o=")</f>
        <v>#REF!</v>
      </c>
      <c r="EJ45" t="e">
        <f>AND(#REF!,"AAAAAHj2/4s=")</f>
        <v>#REF!</v>
      </c>
      <c r="EK45" t="e">
        <f>AND(#REF!,"AAAAAHj2/4w=")</f>
        <v>#REF!</v>
      </c>
      <c r="EL45" t="e">
        <f>AND(#REF!,"AAAAAHj2/40=")</f>
        <v>#REF!</v>
      </c>
      <c r="EM45" t="e">
        <f>IF(#REF!,"AAAAAHj2/44=",0)</f>
        <v>#REF!</v>
      </c>
      <c r="EN45" t="e">
        <f>AND(#REF!,"AAAAAHj2/48=")</f>
        <v>#REF!</v>
      </c>
      <c r="EO45" t="e">
        <f>AND(#REF!,"AAAAAHj2/5A=")</f>
        <v>#REF!</v>
      </c>
      <c r="EP45" t="e">
        <f>AND(#REF!,"AAAAAHj2/5E=")</f>
        <v>#REF!</v>
      </c>
      <c r="EQ45" t="e">
        <f>AND(#REF!,"AAAAAHj2/5I=")</f>
        <v>#REF!</v>
      </c>
      <c r="ER45" t="e">
        <f>AND(#REF!,"AAAAAHj2/5M=")</f>
        <v>#REF!</v>
      </c>
      <c r="ES45" t="e">
        <f>AND(#REF!,"AAAAAHj2/5Q=")</f>
        <v>#REF!</v>
      </c>
      <c r="ET45" t="e">
        <f>AND(#REF!,"AAAAAHj2/5U=")</f>
        <v>#REF!</v>
      </c>
      <c r="EU45" t="e">
        <f>AND(#REF!,"AAAAAHj2/5Y=")</f>
        <v>#REF!</v>
      </c>
      <c r="EV45" t="e">
        <f>IF(#REF!,"AAAAAHj2/5c=",0)</f>
        <v>#REF!</v>
      </c>
      <c r="EW45" t="e">
        <f>AND(#REF!,"AAAAAHj2/5g=")</f>
        <v>#REF!</v>
      </c>
      <c r="EX45" t="e">
        <f>AND(#REF!,"AAAAAHj2/5k=")</f>
        <v>#REF!</v>
      </c>
      <c r="EY45" t="e">
        <f>AND(#REF!,"AAAAAHj2/5o=")</f>
        <v>#REF!</v>
      </c>
      <c r="EZ45" t="e">
        <f>AND(#REF!,"AAAAAHj2/5s=")</f>
        <v>#REF!</v>
      </c>
      <c r="FA45" t="e">
        <f>AND(#REF!,"AAAAAHj2/5w=")</f>
        <v>#REF!</v>
      </c>
      <c r="FB45" t="e">
        <f>AND(#REF!,"AAAAAHj2/50=")</f>
        <v>#REF!</v>
      </c>
      <c r="FC45" t="e">
        <f>AND(#REF!,"AAAAAHj2/54=")</f>
        <v>#REF!</v>
      </c>
      <c r="FD45" t="e">
        <f>AND(#REF!,"AAAAAHj2/58=")</f>
        <v>#REF!</v>
      </c>
      <c r="FE45" t="e">
        <f>IF(#REF!,"AAAAAHj2/6A=",0)</f>
        <v>#REF!</v>
      </c>
      <c r="FF45" t="e">
        <f>AND(#REF!,"AAAAAHj2/6E=")</f>
        <v>#REF!</v>
      </c>
      <c r="FG45" t="e">
        <f>AND(#REF!,"AAAAAHj2/6I=")</f>
        <v>#REF!</v>
      </c>
      <c r="FH45" t="e">
        <f>AND(#REF!,"AAAAAHj2/6M=")</f>
        <v>#REF!</v>
      </c>
      <c r="FI45" t="e">
        <f>AND(#REF!,"AAAAAHj2/6Q=")</f>
        <v>#REF!</v>
      </c>
      <c r="FJ45" t="e">
        <f>AND(#REF!,"AAAAAHj2/6U=")</f>
        <v>#REF!</v>
      </c>
      <c r="FK45" t="e">
        <f>AND(#REF!,"AAAAAHj2/6Y=")</f>
        <v>#REF!</v>
      </c>
      <c r="FL45" t="e">
        <f>AND(#REF!,"AAAAAHj2/6c=")</f>
        <v>#REF!</v>
      </c>
      <c r="FM45" t="e">
        <f>AND(#REF!,"AAAAAHj2/6g=")</f>
        <v>#REF!</v>
      </c>
      <c r="FN45" t="e">
        <f>IF(#REF!,"AAAAAHj2/6k=",0)</f>
        <v>#REF!</v>
      </c>
      <c r="FO45" t="e">
        <f>AND(#REF!,"AAAAAHj2/6o=")</f>
        <v>#REF!</v>
      </c>
      <c r="FP45" t="e">
        <f>AND(#REF!,"AAAAAHj2/6s=")</f>
        <v>#REF!</v>
      </c>
      <c r="FQ45" t="e">
        <f>AND(#REF!,"AAAAAHj2/6w=")</f>
        <v>#REF!</v>
      </c>
      <c r="FR45" t="e">
        <f>AND(#REF!,"AAAAAHj2/60=")</f>
        <v>#REF!</v>
      </c>
      <c r="FS45" t="e">
        <f>AND(#REF!,"AAAAAHj2/64=")</f>
        <v>#REF!</v>
      </c>
      <c r="FT45" t="e">
        <f>AND(#REF!,"AAAAAHj2/68=")</f>
        <v>#REF!</v>
      </c>
      <c r="FU45" t="e">
        <f>AND(#REF!,"AAAAAHj2/7A=")</f>
        <v>#REF!</v>
      </c>
      <c r="FV45" t="e">
        <f>AND(#REF!,"AAAAAHj2/7E=")</f>
        <v>#REF!</v>
      </c>
      <c r="FW45" t="e">
        <f>IF(#REF!,"AAAAAHj2/7I=",0)</f>
        <v>#REF!</v>
      </c>
      <c r="FX45" t="e">
        <f>AND(#REF!,"AAAAAHj2/7M=")</f>
        <v>#REF!</v>
      </c>
      <c r="FY45" t="e">
        <f>AND(#REF!,"AAAAAHj2/7Q=")</f>
        <v>#REF!</v>
      </c>
      <c r="FZ45" t="e">
        <f>AND(#REF!,"AAAAAHj2/7U=")</f>
        <v>#REF!</v>
      </c>
      <c r="GA45" t="e">
        <f>AND(#REF!,"AAAAAHj2/7Y=")</f>
        <v>#REF!</v>
      </c>
      <c r="GB45" t="e">
        <f>AND(#REF!,"AAAAAHj2/7c=")</f>
        <v>#REF!</v>
      </c>
      <c r="GC45" t="e">
        <f>AND(#REF!,"AAAAAHj2/7g=")</f>
        <v>#REF!</v>
      </c>
      <c r="GD45" t="e">
        <f>AND(#REF!,"AAAAAHj2/7k=")</f>
        <v>#REF!</v>
      </c>
      <c r="GE45" t="e">
        <f>AND(#REF!,"AAAAAHj2/7o=")</f>
        <v>#REF!</v>
      </c>
      <c r="GF45" t="e">
        <f>IF(#REF!,"AAAAAHj2/7s=",0)</f>
        <v>#REF!</v>
      </c>
      <c r="GG45" t="e">
        <f>AND(#REF!,"AAAAAHj2/7w=")</f>
        <v>#REF!</v>
      </c>
      <c r="GH45" t="e">
        <f>AND(#REF!,"AAAAAHj2/70=")</f>
        <v>#REF!</v>
      </c>
      <c r="GI45" t="e">
        <f>AND(#REF!,"AAAAAHj2/74=")</f>
        <v>#REF!</v>
      </c>
      <c r="GJ45" t="e">
        <f>AND(#REF!,"AAAAAHj2/78=")</f>
        <v>#REF!</v>
      </c>
      <c r="GK45" t="e">
        <f>AND(#REF!,"AAAAAHj2/8A=")</f>
        <v>#REF!</v>
      </c>
      <c r="GL45" t="e">
        <f>AND(#REF!,"AAAAAHj2/8E=")</f>
        <v>#REF!</v>
      </c>
      <c r="GM45" t="e">
        <f>AND(#REF!,"AAAAAHj2/8I=")</f>
        <v>#REF!</v>
      </c>
      <c r="GN45" t="e">
        <f>AND(#REF!,"AAAAAHj2/8M=")</f>
        <v>#REF!</v>
      </c>
      <c r="GO45" t="e">
        <f>IF(#REF!,"AAAAAHj2/8Q=",0)</f>
        <v>#REF!</v>
      </c>
      <c r="GP45" t="e">
        <f>AND(#REF!,"AAAAAHj2/8U=")</f>
        <v>#REF!</v>
      </c>
      <c r="GQ45" t="e">
        <f>AND(#REF!,"AAAAAHj2/8Y=")</f>
        <v>#REF!</v>
      </c>
      <c r="GR45" t="e">
        <f>AND(#REF!,"AAAAAHj2/8c=")</f>
        <v>#REF!</v>
      </c>
      <c r="GS45" t="e">
        <f>AND(#REF!,"AAAAAHj2/8g=")</f>
        <v>#REF!</v>
      </c>
      <c r="GT45" t="e">
        <f>AND(#REF!,"AAAAAHj2/8k=")</f>
        <v>#REF!</v>
      </c>
      <c r="GU45" t="e">
        <f>AND(#REF!,"AAAAAHj2/8o=")</f>
        <v>#REF!</v>
      </c>
      <c r="GV45" t="e">
        <f>AND(#REF!,"AAAAAHj2/8s=")</f>
        <v>#REF!</v>
      </c>
      <c r="GW45" t="e">
        <f>AND(#REF!,"AAAAAHj2/8w=")</f>
        <v>#REF!</v>
      </c>
      <c r="GX45" t="e">
        <f>IF(#REF!,"AAAAAHj2/80=",0)</f>
        <v>#REF!</v>
      </c>
      <c r="GY45" t="e">
        <f>AND(#REF!,"AAAAAHj2/84=")</f>
        <v>#REF!</v>
      </c>
      <c r="GZ45" t="e">
        <f>AND(#REF!,"AAAAAHj2/88=")</f>
        <v>#REF!</v>
      </c>
      <c r="HA45" t="e">
        <f>AND(#REF!,"AAAAAHj2/9A=")</f>
        <v>#REF!</v>
      </c>
      <c r="HB45" t="e">
        <f>AND(#REF!,"AAAAAHj2/9E=")</f>
        <v>#REF!</v>
      </c>
      <c r="HC45" t="e">
        <f>AND(#REF!,"AAAAAHj2/9I=")</f>
        <v>#REF!</v>
      </c>
      <c r="HD45" t="e">
        <f>AND(#REF!,"AAAAAHj2/9M=")</f>
        <v>#REF!</v>
      </c>
      <c r="HE45" t="e">
        <f>AND(#REF!,"AAAAAHj2/9Q=")</f>
        <v>#REF!</v>
      </c>
      <c r="HF45" t="e">
        <f>AND(#REF!,"AAAAAHj2/9U=")</f>
        <v>#REF!</v>
      </c>
      <c r="HG45" t="e">
        <f>IF(#REF!,"AAAAAHj2/9Y=",0)</f>
        <v>#REF!</v>
      </c>
      <c r="HH45" t="e">
        <f>AND(#REF!,"AAAAAHj2/9c=")</f>
        <v>#REF!</v>
      </c>
      <c r="HI45" t="e">
        <f>AND(#REF!,"AAAAAHj2/9g=")</f>
        <v>#REF!</v>
      </c>
      <c r="HJ45" t="e">
        <f>AND(#REF!,"AAAAAHj2/9k=")</f>
        <v>#REF!</v>
      </c>
      <c r="HK45" t="e">
        <f>AND(#REF!,"AAAAAHj2/9o=")</f>
        <v>#REF!</v>
      </c>
      <c r="HL45" t="e">
        <f>AND(#REF!,"AAAAAHj2/9s=")</f>
        <v>#REF!</v>
      </c>
      <c r="HM45" t="e">
        <f>AND(#REF!,"AAAAAHj2/9w=")</f>
        <v>#REF!</v>
      </c>
      <c r="HN45" t="e">
        <f>AND(#REF!,"AAAAAHj2/90=")</f>
        <v>#REF!</v>
      </c>
      <c r="HO45" t="e">
        <f>AND(#REF!,"AAAAAHj2/94=")</f>
        <v>#REF!</v>
      </c>
      <c r="HP45" t="e">
        <f>IF(#REF!,"AAAAAHj2/98=",0)</f>
        <v>#REF!</v>
      </c>
      <c r="HQ45" t="e">
        <f>AND(#REF!,"AAAAAHj2/+A=")</f>
        <v>#REF!</v>
      </c>
      <c r="HR45" t="e">
        <f>AND(#REF!,"AAAAAHj2/+E=")</f>
        <v>#REF!</v>
      </c>
      <c r="HS45" t="e">
        <f>AND(#REF!,"AAAAAHj2/+I=")</f>
        <v>#REF!</v>
      </c>
      <c r="HT45" t="e">
        <f>AND(#REF!,"AAAAAHj2/+M=")</f>
        <v>#REF!</v>
      </c>
      <c r="HU45" t="e">
        <f>AND(#REF!,"AAAAAHj2/+Q=")</f>
        <v>#REF!</v>
      </c>
      <c r="HV45" t="e">
        <f>AND(#REF!,"AAAAAHj2/+U=")</f>
        <v>#REF!</v>
      </c>
      <c r="HW45" t="e">
        <f>AND(#REF!,"AAAAAHj2/+Y=")</f>
        <v>#REF!</v>
      </c>
      <c r="HX45" t="e">
        <f>AND(#REF!,"AAAAAHj2/+c=")</f>
        <v>#REF!</v>
      </c>
      <c r="HY45" t="e">
        <f>IF(#REF!,"AAAAAHj2/+g=",0)</f>
        <v>#REF!</v>
      </c>
      <c r="HZ45" t="e">
        <f>IF(#REF!,"AAAAAHj2/+k=",0)</f>
        <v>#REF!</v>
      </c>
      <c r="IA45" t="e">
        <f>IF(#REF!,"AAAAAHj2/+o=",0)</f>
        <v>#REF!</v>
      </c>
      <c r="IB45" t="e">
        <f>IF(#REF!,"AAAAAHj2/+s=",0)</f>
        <v>#REF!</v>
      </c>
      <c r="IC45" t="e">
        <f>IF(#REF!,"AAAAAHj2/+w=",0)</f>
        <v>#REF!</v>
      </c>
      <c r="ID45" t="e">
        <f>IF(#REF!,"AAAAAHj2/+0=",0)</f>
        <v>#REF!</v>
      </c>
      <c r="IE45" t="e">
        <f>IF(#REF!,"AAAAAHj2/+4=",0)</f>
        <v>#REF!</v>
      </c>
      <c r="IF45" t="e">
        <f>IF(#REF!,"AAAAAHj2/+8=",0)</f>
        <v>#REF!</v>
      </c>
      <c r="IG45" t="e">
        <f>IF(#REF!,"AAAAAHj2//A=",0)</f>
        <v>#REF!</v>
      </c>
      <c r="IH45" t="e">
        <f>IF(#REF!,"AAAAAHj2//E=",0)</f>
        <v>#REF!</v>
      </c>
      <c r="II45" t="e">
        <f>IF(#REF!,"AAAAAHj2//I=",0)</f>
        <v>#REF!</v>
      </c>
      <c r="IJ45" t="e">
        <f>IF(#REF!,"AAAAAHj2//M=",0)</f>
        <v>#REF!</v>
      </c>
      <c r="IK45" t="e">
        <f>IF(#REF!,"AAAAAHj2//Q=",0)</f>
        <v>#REF!</v>
      </c>
      <c r="IL45" t="e">
        <f>IF(#REF!,"AAAAAHj2//U=",0)</f>
        <v>#REF!</v>
      </c>
      <c r="IM45" t="e">
        <f>AND(#REF!,"AAAAAHj2//Y=")</f>
        <v>#REF!</v>
      </c>
      <c r="IN45" t="e">
        <f>AND(#REF!,"AAAAAHj2//c=")</f>
        <v>#REF!</v>
      </c>
      <c r="IO45" t="e">
        <f>AND(#REF!,"AAAAAHj2//g=")</f>
        <v>#REF!</v>
      </c>
      <c r="IP45" t="e">
        <f>AND(#REF!,"AAAAAHj2//k=")</f>
        <v>#REF!</v>
      </c>
      <c r="IQ45" t="e">
        <f>AND(#REF!,"AAAAAHj2//o=")</f>
        <v>#REF!</v>
      </c>
      <c r="IR45" t="e">
        <f>AND(#REF!,"AAAAAHj2//s=")</f>
        <v>#REF!</v>
      </c>
      <c r="IS45" t="e">
        <f>AND(#REF!,"AAAAAHj2//w=")</f>
        <v>#REF!</v>
      </c>
      <c r="IT45" t="e">
        <f>AND(#REF!,"AAAAAHj2//0=")</f>
        <v>#REF!</v>
      </c>
      <c r="IU45" t="e">
        <f>AND(#REF!,"AAAAAHj2//4=")</f>
        <v>#REF!</v>
      </c>
      <c r="IV45" t="e">
        <f>AND(#REF!,"AAAAAHj2//8=")</f>
        <v>#REF!</v>
      </c>
    </row>
    <row r="46" spans="1:256" x14ac:dyDescent="0.2">
      <c r="A46" t="e">
        <f>AND(#REF!,"AAAAAHv/egA=")</f>
        <v>#REF!</v>
      </c>
      <c r="B46" t="e">
        <f>AND(#REF!,"AAAAAHv/egE=")</f>
        <v>#REF!</v>
      </c>
      <c r="C46" t="e">
        <f>AND(#REF!,"AAAAAHv/egI=")</f>
        <v>#REF!</v>
      </c>
      <c r="D46" t="e">
        <f>AND(#REF!,"AAAAAHv/egM=")</f>
        <v>#REF!</v>
      </c>
      <c r="E46" t="e">
        <f>AND(#REF!,"AAAAAHv/egQ=")</f>
        <v>#REF!</v>
      </c>
      <c r="F46" t="e">
        <f>AND(#REF!,"AAAAAHv/egU=")</f>
        <v>#REF!</v>
      </c>
      <c r="G46" t="e">
        <f>AND(#REF!,"AAAAAHv/egY=")</f>
        <v>#REF!</v>
      </c>
      <c r="H46" t="e">
        <f>AND(#REF!,"AAAAAHv/egc=")</f>
        <v>#REF!</v>
      </c>
      <c r="I46" t="e">
        <f>AND(#REF!,"AAAAAHv/egg=")</f>
        <v>#REF!</v>
      </c>
      <c r="J46" t="e">
        <f>AND(#REF!,"AAAAAHv/egk=")</f>
        <v>#REF!</v>
      </c>
      <c r="K46" t="e">
        <f>AND(#REF!,"AAAAAHv/ego=")</f>
        <v>#REF!</v>
      </c>
      <c r="L46" t="e">
        <f>AND(#REF!,"AAAAAHv/egs=")</f>
        <v>#REF!</v>
      </c>
      <c r="M46" t="e">
        <f>AND(#REF!,"AAAAAHv/egw=")</f>
        <v>#REF!</v>
      </c>
      <c r="N46" t="e">
        <f>AND(#REF!,"AAAAAHv/eg0=")</f>
        <v>#REF!</v>
      </c>
      <c r="O46" t="e">
        <f>AND(#REF!,"AAAAAHv/eg4=")</f>
        <v>#REF!</v>
      </c>
      <c r="P46" t="e">
        <f>AND(#REF!,"AAAAAHv/eg8=")</f>
        <v>#REF!</v>
      </c>
      <c r="Q46" t="e">
        <f>AND(#REF!,"AAAAAHv/ehA=")</f>
        <v>#REF!</v>
      </c>
      <c r="R46" t="e">
        <f>AND(#REF!,"AAAAAHv/ehE=")</f>
        <v>#REF!</v>
      </c>
      <c r="S46" t="e">
        <f>AND(#REF!,"AAAAAHv/ehI=")</f>
        <v>#REF!</v>
      </c>
      <c r="T46" t="e">
        <f>AND(#REF!,"AAAAAHv/ehM=")</f>
        <v>#REF!</v>
      </c>
      <c r="U46" t="e">
        <f>AND(#REF!,"AAAAAHv/ehQ=")</f>
        <v>#REF!</v>
      </c>
      <c r="V46" t="e">
        <f>AND(#REF!,"AAAAAHv/ehU=")</f>
        <v>#REF!</v>
      </c>
      <c r="W46" t="e">
        <f>AND(#REF!,"AAAAAHv/ehY=")</f>
        <v>#REF!</v>
      </c>
      <c r="X46" t="e">
        <f>AND(#REF!,"AAAAAHv/ehc=")</f>
        <v>#REF!</v>
      </c>
      <c r="Y46" t="e">
        <f>AND(#REF!,"AAAAAHv/ehg=")</f>
        <v>#REF!</v>
      </c>
      <c r="Z46" t="e">
        <f>AND(#REF!,"AAAAAHv/ehk=")</f>
        <v>#REF!</v>
      </c>
      <c r="AA46" t="e">
        <f>AND(#REF!,"AAAAAHv/eho=")</f>
        <v>#REF!</v>
      </c>
      <c r="AB46" t="e">
        <f>AND(#REF!,"AAAAAHv/ehs=")</f>
        <v>#REF!</v>
      </c>
      <c r="AC46" t="e">
        <f>AND(#REF!,"AAAAAHv/ehw=")</f>
        <v>#REF!</v>
      </c>
      <c r="AD46" t="e">
        <f>IF(#REF!,"AAAAAHv/eh0=",0)</f>
        <v>#REF!</v>
      </c>
      <c r="AE46" t="e">
        <f>AND(#REF!,"AAAAAHv/eh4=")</f>
        <v>#REF!</v>
      </c>
      <c r="AF46" t="e">
        <f>AND(#REF!,"AAAAAHv/eh8=")</f>
        <v>#REF!</v>
      </c>
      <c r="AG46" t="e">
        <f>AND(#REF!,"AAAAAHv/eiA=")</f>
        <v>#REF!</v>
      </c>
      <c r="AH46" t="e">
        <f>AND(#REF!,"AAAAAHv/eiE=")</f>
        <v>#REF!</v>
      </c>
      <c r="AI46" t="e">
        <f>AND(#REF!,"AAAAAHv/eiI=")</f>
        <v>#REF!</v>
      </c>
      <c r="AJ46" t="e">
        <f>AND(#REF!,"AAAAAHv/eiM=")</f>
        <v>#REF!</v>
      </c>
      <c r="AK46" t="e">
        <f>AND(#REF!,"AAAAAHv/eiQ=")</f>
        <v>#REF!</v>
      </c>
      <c r="AL46" t="e">
        <f>AND(#REF!,"AAAAAHv/eiU=")</f>
        <v>#REF!</v>
      </c>
      <c r="AM46" t="e">
        <f>AND(#REF!,"AAAAAHv/eiY=")</f>
        <v>#REF!</v>
      </c>
      <c r="AN46" t="e">
        <f>AND(#REF!,"AAAAAHv/eic=")</f>
        <v>#REF!</v>
      </c>
      <c r="AO46" t="e">
        <f>AND(#REF!,"AAAAAHv/eig=")</f>
        <v>#REF!</v>
      </c>
      <c r="AP46" t="e">
        <f>AND(#REF!,"AAAAAHv/eik=")</f>
        <v>#REF!</v>
      </c>
      <c r="AQ46" t="e">
        <f>AND(#REF!,"AAAAAHv/eio=")</f>
        <v>#REF!</v>
      </c>
      <c r="AR46" t="e">
        <f>AND(#REF!,"AAAAAHv/eis=")</f>
        <v>#REF!</v>
      </c>
      <c r="AS46" t="e">
        <f>AND(#REF!,"AAAAAHv/eiw=")</f>
        <v>#REF!</v>
      </c>
      <c r="AT46" t="e">
        <f>AND(#REF!,"AAAAAHv/ei0=")</f>
        <v>#REF!</v>
      </c>
      <c r="AU46" t="e">
        <f>AND(#REF!,"AAAAAHv/ei4=")</f>
        <v>#REF!</v>
      </c>
      <c r="AV46" t="e">
        <f>AND(#REF!,"AAAAAHv/ei8=")</f>
        <v>#REF!</v>
      </c>
      <c r="AW46" t="e">
        <f>AND(#REF!,"AAAAAHv/ejA=")</f>
        <v>#REF!</v>
      </c>
      <c r="AX46" t="e">
        <f>AND(#REF!,"AAAAAHv/ejE=")</f>
        <v>#REF!</v>
      </c>
      <c r="AY46" t="e">
        <f>AND(#REF!,"AAAAAHv/ejI=")</f>
        <v>#REF!</v>
      </c>
      <c r="AZ46" t="e">
        <f>AND(#REF!,"AAAAAHv/ejM=")</f>
        <v>#REF!</v>
      </c>
      <c r="BA46" t="e">
        <f>AND(#REF!,"AAAAAHv/ejQ=")</f>
        <v>#REF!</v>
      </c>
      <c r="BB46" t="e">
        <f>AND(#REF!,"AAAAAHv/ejU=")</f>
        <v>#REF!</v>
      </c>
      <c r="BC46" t="e">
        <f>AND(#REF!,"AAAAAHv/ejY=")</f>
        <v>#REF!</v>
      </c>
      <c r="BD46" t="e">
        <f>AND(#REF!,"AAAAAHv/ejc=")</f>
        <v>#REF!</v>
      </c>
      <c r="BE46" t="e">
        <f>AND(#REF!,"AAAAAHv/ejg=")</f>
        <v>#REF!</v>
      </c>
      <c r="BF46" t="e">
        <f>AND(#REF!,"AAAAAHv/ejk=")</f>
        <v>#REF!</v>
      </c>
      <c r="BG46" t="e">
        <f>AND(#REF!,"AAAAAHv/ejo=")</f>
        <v>#REF!</v>
      </c>
      <c r="BH46" t="e">
        <f>AND(#REF!,"AAAAAHv/ejs=")</f>
        <v>#REF!</v>
      </c>
      <c r="BI46" t="e">
        <f>AND(#REF!,"AAAAAHv/ejw=")</f>
        <v>#REF!</v>
      </c>
      <c r="BJ46" t="e">
        <f>AND(#REF!,"AAAAAHv/ej0=")</f>
        <v>#REF!</v>
      </c>
      <c r="BK46" t="e">
        <f>AND(#REF!,"AAAAAHv/ej4=")</f>
        <v>#REF!</v>
      </c>
      <c r="BL46" t="e">
        <f>AND(#REF!,"AAAAAHv/ej8=")</f>
        <v>#REF!</v>
      </c>
      <c r="BM46" t="e">
        <f>AND(#REF!,"AAAAAHv/ekA=")</f>
        <v>#REF!</v>
      </c>
      <c r="BN46" t="e">
        <f>AND(#REF!,"AAAAAHv/ekE=")</f>
        <v>#REF!</v>
      </c>
      <c r="BO46" t="e">
        <f>AND(#REF!,"AAAAAHv/ekI=")</f>
        <v>#REF!</v>
      </c>
      <c r="BP46" t="e">
        <f>AND(#REF!,"AAAAAHv/ekM=")</f>
        <v>#REF!</v>
      </c>
      <c r="BQ46" t="e">
        <f>AND(#REF!,"AAAAAHv/ekQ=")</f>
        <v>#REF!</v>
      </c>
      <c r="BR46" t="e">
        <f>IF(#REF!,"AAAAAHv/ekU=",0)</f>
        <v>#REF!</v>
      </c>
      <c r="BS46" t="e">
        <f>AND(#REF!,"AAAAAHv/ekY=")</f>
        <v>#REF!</v>
      </c>
      <c r="BT46" t="e">
        <f>AND(#REF!,"AAAAAHv/ekc=")</f>
        <v>#REF!</v>
      </c>
      <c r="BU46" t="e">
        <f>AND(#REF!,"AAAAAHv/ekg=")</f>
        <v>#REF!</v>
      </c>
      <c r="BV46" t="e">
        <f>AND(#REF!,"AAAAAHv/ekk=")</f>
        <v>#REF!</v>
      </c>
      <c r="BW46" t="e">
        <f>AND(#REF!,"AAAAAHv/eko=")</f>
        <v>#REF!</v>
      </c>
      <c r="BX46" t="e">
        <f>AND(#REF!,"AAAAAHv/eks=")</f>
        <v>#REF!</v>
      </c>
      <c r="BY46" t="e">
        <f>AND(#REF!,"AAAAAHv/ekw=")</f>
        <v>#REF!</v>
      </c>
      <c r="BZ46" t="e">
        <f>AND(#REF!,"AAAAAHv/ek0=")</f>
        <v>#REF!</v>
      </c>
      <c r="CA46" t="e">
        <f>AND(#REF!,"AAAAAHv/ek4=")</f>
        <v>#REF!</v>
      </c>
      <c r="CB46" t="e">
        <f>AND(#REF!,"AAAAAHv/ek8=")</f>
        <v>#REF!</v>
      </c>
      <c r="CC46" t="e">
        <f>AND(#REF!,"AAAAAHv/elA=")</f>
        <v>#REF!</v>
      </c>
      <c r="CD46" t="e">
        <f>AND(#REF!,"AAAAAHv/elE=")</f>
        <v>#REF!</v>
      </c>
      <c r="CE46" t="e">
        <f>AND(#REF!,"AAAAAHv/elI=")</f>
        <v>#REF!</v>
      </c>
      <c r="CF46" t="e">
        <f>AND(#REF!,"AAAAAHv/elM=")</f>
        <v>#REF!</v>
      </c>
      <c r="CG46" t="e">
        <f>AND(#REF!,"AAAAAHv/elQ=")</f>
        <v>#REF!</v>
      </c>
      <c r="CH46" t="e">
        <f>AND(#REF!,"AAAAAHv/elU=")</f>
        <v>#REF!</v>
      </c>
      <c r="CI46" t="e">
        <f>AND(#REF!,"AAAAAHv/elY=")</f>
        <v>#REF!</v>
      </c>
      <c r="CJ46" t="e">
        <f>AND(#REF!,"AAAAAHv/elc=")</f>
        <v>#REF!</v>
      </c>
      <c r="CK46" t="e">
        <f>AND(#REF!,"AAAAAHv/elg=")</f>
        <v>#REF!</v>
      </c>
      <c r="CL46" t="e">
        <f>AND(#REF!,"AAAAAHv/elk=")</f>
        <v>#REF!</v>
      </c>
      <c r="CM46" t="e">
        <f>AND(#REF!,"AAAAAHv/elo=")</f>
        <v>#REF!</v>
      </c>
      <c r="CN46" t="e">
        <f>AND(#REF!,"AAAAAHv/els=")</f>
        <v>#REF!</v>
      </c>
      <c r="CO46" t="e">
        <f>AND(#REF!,"AAAAAHv/elw=")</f>
        <v>#REF!</v>
      </c>
      <c r="CP46" t="e">
        <f>AND(#REF!,"AAAAAHv/el0=")</f>
        <v>#REF!</v>
      </c>
      <c r="CQ46" t="e">
        <f>AND(#REF!,"AAAAAHv/el4=")</f>
        <v>#REF!</v>
      </c>
      <c r="CR46" t="e">
        <f>AND(#REF!,"AAAAAHv/el8=")</f>
        <v>#REF!</v>
      </c>
      <c r="CS46" t="e">
        <f>AND(#REF!,"AAAAAHv/emA=")</f>
        <v>#REF!</v>
      </c>
      <c r="CT46" t="e">
        <f>AND(#REF!,"AAAAAHv/emE=")</f>
        <v>#REF!</v>
      </c>
      <c r="CU46" t="e">
        <f>AND(#REF!,"AAAAAHv/emI=")</f>
        <v>#REF!</v>
      </c>
      <c r="CV46" t="e">
        <f>AND(#REF!,"AAAAAHv/emM=")</f>
        <v>#REF!</v>
      </c>
      <c r="CW46" t="e">
        <f>AND(#REF!,"AAAAAHv/emQ=")</f>
        <v>#REF!</v>
      </c>
      <c r="CX46" t="e">
        <f>AND(#REF!,"AAAAAHv/emU=")</f>
        <v>#REF!</v>
      </c>
      <c r="CY46" t="e">
        <f>AND(#REF!,"AAAAAHv/emY=")</f>
        <v>#REF!</v>
      </c>
      <c r="CZ46" t="e">
        <f>AND(#REF!,"AAAAAHv/emc=")</f>
        <v>#REF!</v>
      </c>
      <c r="DA46" t="e">
        <f>AND(#REF!,"AAAAAHv/emg=")</f>
        <v>#REF!</v>
      </c>
      <c r="DB46" t="e">
        <f>AND(#REF!,"AAAAAHv/emk=")</f>
        <v>#REF!</v>
      </c>
      <c r="DC46" t="e">
        <f>AND(#REF!,"AAAAAHv/emo=")</f>
        <v>#REF!</v>
      </c>
      <c r="DD46" t="e">
        <f>AND(#REF!,"AAAAAHv/ems=")</f>
        <v>#REF!</v>
      </c>
      <c r="DE46" t="e">
        <f>AND(#REF!,"AAAAAHv/emw=")</f>
        <v>#REF!</v>
      </c>
      <c r="DF46" t="e">
        <f>IF(#REF!,"AAAAAHv/em0=",0)</f>
        <v>#REF!</v>
      </c>
      <c r="DG46" t="e">
        <f>AND(#REF!,"AAAAAHv/em4=")</f>
        <v>#REF!</v>
      </c>
      <c r="DH46" t="e">
        <f>AND(#REF!,"AAAAAHv/em8=")</f>
        <v>#REF!</v>
      </c>
      <c r="DI46" t="e">
        <f>AND(#REF!,"AAAAAHv/enA=")</f>
        <v>#REF!</v>
      </c>
      <c r="DJ46" t="e">
        <f>AND(#REF!,"AAAAAHv/enE=")</f>
        <v>#REF!</v>
      </c>
      <c r="DK46" t="e">
        <f>AND(#REF!,"AAAAAHv/enI=")</f>
        <v>#REF!</v>
      </c>
      <c r="DL46" t="e">
        <f>AND(#REF!,"AAAAAHv/enM=")</f>
        <v>#REF!</v>
      </c>
      <c r="DM46" t="e">
        <f>AND(#REF!,"AAAAAHv/enQ=")</f>
        <v>#REF!</v>
      </c>
      <c r="DN46" t="e">
        <f>AND(#REF!,"AAAAAHv/enU=")</f>
        <v>#REF!</v>
      </c>
      <c r="DO46" t="e">
        <f>AND(#REF!,"AAAAAHv/enY=")</f>
        <v>#REF!</v>
      </c>
      <c r="DP46" t="e">
        <f>AND(#REF!,"AAAAAHv/enc=")</f>
        <v>#REF!</v>
      </c>
      <c r="DQ46" t="e">
        <f>AND(#REF!,"AAAAAHv/eng=")</f>
        <v>#REF!</v>
      </c>
      <c r="DR46" t="e">
        <f>AND(#REF!,"AAAAAHv/enk=")</f>
        <v>#REF!</v>
      </c>
      <c r="DS46" t="e">
        <f>AND(#REF!,"AAAAAHv/eno=")</f>
        <v>#REF!</v>
      </c>
      <c r="DT46" t="e">
        <f>AND(#REF!,"AAAAAHv/ens=")</f>
        <v>#REF!</v>
      </c>
      <c r="DU46" t="e">
        <f>AND(#REF!,"AAAAAHv/enw=")</f>
        <v>#REF!</v>
      </c>
      <c r="DV46" t="e">
        <f>AND(#REF!,"AAAAAHv/en0=")</f>
        <v>#REF!</v>
      </c>
      <c r="DW46" t="e">
        <f>AND(#REF!,"AAAAAHv/en4=")</f>
        <v>#REF!</v>
      </c>
      <c r="DX46" t="e">
        <f>AND(#REF!,"AAAAAHv/en8=")</f>
        <v>#REF!</v>
      </c>
      <c r="DY46" t="e">
        <f>AND(#REF!,"AAAAAHv/eoA=")</f>
        <v>#REF!</v>
      </c>
      <c r="DZ46" t="e">
        <f>AND(#REF!,"AAAAAHv/eoE=")</f>
        <v>#REF!</v>
      </c>
      <c r="EA46" t="e">
        <f>AND(#REF!,"AAAAAHv/eoI=")</f>
        <v>#REF!</v>
      </c>
      <c r="EB46" t="e">
        <f>AND(#REF!,"AAAAAHv/eoM=")</f>
        <v>#REF!</v>
      </c>
      <c r="EC46" t="e">
        <f>AND(#REF!,"AAAAAHv/eoQ=")</f>
        <v>#REF!</v>
      </c>
      <c r="ED46" t="e">
        <f>AND(#REF!,"AAAAAHv/eoU=")</f>
        <v>#REF!</v>
      </c>
      <c r="EE46" t="e">
        <f>AND(#REF!,"AAAAAHv/eoY=")</f>
        <v>#REF!</v>
      </c>
      <c r="EF46" t="e">
        <f>AND(#REF!,"AAAAAHv/eoc=")</f>
        <v>#REF!</v>
      </c>
      <c r="EG46" t="e">
        <f>AND(#REF!,"AAAAAHv/eog=")</f>
        <v>#REF!</v>
      </c>
      <c r="EH46" t="e">
        <f>AND(#REF!,"AAAAAHv/eok=")</f>
        <v>#REF!</v>
      </c>
      <c r="EI46" t="e">
        <f>AND(#REF!,"AAAAAHv/eoo=")</f>
        <v>#REF!</v>
      </c>
      <c r="EJ46" t="e">
        <f>AND(#REF!,"AAAAAHv/eos=")</f>
        <v>#REF!</v>
      </c>
      <c r="EK46" t="e">
        <f>AND(#REF!,"AAAAAHv/eow=")</f>
        <v>#REF!</v>
      </c>
      <c r="EL46" t="e">
        <f>AND(#REF!,"AAAAAHv/eo0=")</f>
        <v>#REF!</v>
      </c>
      <c r="EM46" t="e">
        <f>AND(#REF!,"AAAAAHv/eo4=")</f>
        <v>#REF!</v>
      </c>
      <c r="EN46" t="e">
        <f>AND(#REF!,"AAAAAHv/eo8=")</f>
        <v>#REF!</v>
      </c>
      <c r="EO46" t="e">
        <f>AND(#REF!,"AAAAAHv/epA=")</f>
        <v>#REF!</v>
      </c>
      <c r="EP46" t="e">
        <f>AND(#REF!,"AAAAAHv/epE=")</f>
        <v>#REF!</v>
      </c>
      <c r="EQ46" t="e">
        <f>AND(#REF!,"AAAAAHv/epI=")</f>
        <v>#REF!</v>
      </c>
      <c r="ER46" t="e">
        <f>AND(#REF!,"AAAAAHv/epM=")</f>
        <v>#REF!</v>
      </c>
      <c r="ES46" t="e">
        <f>AND(#REF!,"AAAAAHv/epQ=")</f>
        <v>#REF!</v>
      </c>
      <c r="ET46" t="e">
        <f>IF(#REF!,"AAAAAHv/epU=",0)</f>
        <v>#REF!</v>
      </c>
      <c r="EU46" t="e">
        <f>AND(#REF!,"AAAAAHv/epY=")</f>
        <v>#REF!</v>
      </c>
      <c r="EV46" t="e">
        <f>AND(#REF!,"AAAAAHv/epc=")</f>
        <v>#REF!</v>
      </c>
      <c r="EW46" t="e">
        <f>AND(#REF!,"AAAAAHv/epg=")</f>
        <v>#REF!</v>
      </c>
      <c r="EX46" t="e">
        <f>AND(#REF!,"AAAAAHv/epk=")</f>
        <v>#REF!</v>
      </c>
      <c r="EY46" t="e">
        <f>AND(#REF!,"AAAAAHv/epo=")</f>
        <v>#REF!</v>
      </c>
      <c r="EZ46" t="e">
        <f>AND(#REF!,"AAAAAHv/eps=")</f>
        <v>#REF!</v>
      </c>
      <c r="FA46" t="e">
        <f>AND(#REF!,"AAAAAHv/epw=")</f>
        <v>#REF!</v>
      </c>
      <c r="FB46" t="e">
        <f>AND(#REF!,"AAAAAHv/ep0=")</f>
        <v>#REF!</v>
      </c>
      <c r="FC46" t="e">
        <f>AND(#REF!,"AAAAAHv/ep4=")</f>
        <v>#REF!</v>
      </c>
      <c r="FD46" t="e">
        <f>AND(#REF!,"AAAAAHv/ep8=")</f>
        <v>#REF!</v>
      </c>
      <c r="FE46" t="e">
        <f>AND(#REF!,"AAAAAHv/eqA=")</f>
        <v>#REF!</v>
      </c>
      <c r="FF46" t="e">
        <f>AND(#REF!,"AAAAAHv/eqE=")</f>
        <v>#REF!</v>
      </c>
      <c r="FG46" t="e">
        <f>AND(#REF!,"AAAAAHv/eqI=")</f>
        <v>#REF!</v>
      </c>
      <c r="FH46" t="e">
        <f>AND(#REF!,"AAAAAHv/eqM=")</f>
        <v>#REF!</v>
      </c>
      <c r="FI46" t="e">
        <f>AND(#REF!,"AAAAAHv/eqQ=")</f>
        <v>#REF!</v>
      </c>
      <c r="FJ46" t="e">
        <f>AND(#REF!,"AAAAAHv/eqU=")</f>
        <v>#REF!</v>
      </c>
      <c r="FK46" t="e">
        <f>AND(#REF!,"AAAAAHv/eqY=")</f>
        <v>#REF!</v>
      </c>
      <c r="FL46" t="e">
        <f>AND(#REF!,"AAAAAHv/eqc=")</f>
        <v>#REF!</v>
      </c>
      <c r="FM46" t="e">
        <f>AND(#REF!,"AAAAAHv/eqg=")</f>
        <v>#REF!</v>
      </c>
      <c r="FN46" t="e">
        <f>AND(#REF!,"AAAAAHv/eqk=")</f>
        <v>#REF!</v>
      </c>
      <c r="FO46" t="e">
        <f>AND(#REF!,"AAAAAHv/eqo=")</f>
        <v>#REF!</v>
      </c>
      <c r="FP46" t="e">
        <f>AND(#REF!,"AAAAAHv/eqs=")</f>
        <v>#REF!</v>
      </c>
      <c r="FQ46" t="e">
        <f>AND(#REF!,"AAAAAHv/eqw=")</f>
        <v>#REF!</v>
      </c>
      <c r="FR46" t="e">
        <f>AND(#REF!,"AAAAAHv/eq0=")</f>
        <v>#REF!</v>
      </c>
      <c r="FS46" t="e">
        <f>AND(#REF!,"AAAAAHv/eq4=")</f>
        <v>#REF!</v>
      </c>
      <c r="FT46" t="e">
        <f>AND(#REF!,"AAAAAHv/eq8=")</f>
        <v>#REF!</v>
      </c>
      <c r="FU46" t="e">
        <f>AND(#REF!,"AAAAAHv/erA=")</f>
        <v>#REF!</v>
      </c>
      <c r="FV46" t="e">
        <f>AND(#REF!,"AAAAAHv/erE=")</f>
        <v>#REF!</v>
      </c>
      <c r="FW46" t="e">
        <f>AND(#REF!,"AAAAAHv/erI=")</f>
        <v>#REF!</v>
      </c>
      <c r="FX46" t="e">
        <f>AND(#REF!,"AAAAAHv/erM=")</f>
        <v>#REF!</v>
      </c>
      <c r="FY46" t="e">
        <f>AND(#REF!,"AAAAAHv/erQ=")</f>
        <v>#REF!</v>
      </c>
      <c r="FZ46" t="e">
        <f>AND(#REF!,"AAAAAHv/erU=")</f>
        <v>#REF!</v>
      </c>
      <c r="GA46" t="e">
        <f>AND(#REF!,"AAAAAHv/erY=")</f>
        <v>#REF!</v>
      </c>
      <c r="GB46" t="e">
        <f>AND(#REF!,"AAAAAHv/erc=")</f>
        <v>#REF!</v>
      </c>
      <c r="GC46" t="e">
        <f>AND(#REF!,"AAAAAHv/erg=")</f>
        <v>#REF!</v>
      </c>
      <c r="GD46" t="e">
        <f>AND(#REF!,"AAAAAHv/erk=")</f>
        <v>#REF!</v>
      </c>
      <c r="GE46" t="e">
        <f>AND(#REF!,"AAAAAHv/ero=")</f>
        <v>#REF!</v>
      </c>
      <c r="GF46" t="e">
        <f>AND(#REF!,"AAAAAHv/ers=")</f>
        <v>#REF!</v>
      </c>
      <c r="GG46" t="e">
        <f>AND(#REF!,"AAAAAHv/erw=")</f>
        <v>#REF!</v>
      </c>
      <c r="GH46" t="e">
        <f>IF(#REF!,"AAAAAHv/er0=",0)</f>
        <v>#REF!</v>
      </c>
      <c r="GI46" t="e">
        <f>AND(#REF!,"AAAAAHv/er4=")</f>
        <v>#REF!</v>
      </c>
      <c r="GJ46" t="e">
        <f>AND(#REF!,"AAAAAHv/er8=")</f>
        <v>#REF!</v>
      </c>
      <c r="GK46" t="e">
        <f>AND(#REF!,"AAAAAHv/esA=")</f>
        <v>#REF!</v>
      </c>
      <c r="GL46" t="e">
        <f>AND(#REF!,"AAAAAHv/esE=")</f>
        <v>#REF!</v>
      </c>
      <c r="GM46" t="e">
        <f>AND(#REF!,"AAAAAHv/esI=")</f>
        <v>#REF!</v>
      </c>
      <c r="GN46" t="e">
        <f>AND(#REF!,"AAAAAHv/esM=")</f>
        <v>#REF!</v>
      </c>
      <c r="GO46" t="e">
        <f>AND(#REF!,"AAAAAHv/esQ=")</f>
        <v>#REF!</v>
      </c>
      <c r="GP46" t="e">
        <f>AND(#REF!,"AAAAAHv/esU=")</f>
        <v>#REF!</v>
      </c>
      <c r="GQ46" t="e">
        <f>AND(#REF!,"AAAAAHv/esY=")</f>
        <v>#REF!</v>
      </c>
      <c r="GR46" t="e">
        <f>AND(#REF!,"AAAAAHv/esc=")</f>
        <v>#REF!</v>
      </c>
      <c r="GS46" t="e">
        <f>AND(#REF!,"AAAAAHv/esg=")</f>
        <v>#REF!</v>
      </c>
      <c r="GT46" t="e">
        <f>AND(#REF!,"AAAAAHv/esk=")</f>
        <v>#REF!</v>
      </c>
      <c r="GU46" t="e">
        <f>AND(#REF!,"AAAAAHv/eso=")</f>
        <v>#REF!</v>
      </c>
      <c r="GV46" t="e">
        <f>AND(#REF!,"AAAAAHv/ess=")</f>
        <v>#REF!</v>
      </c>
      <c r="GW46" t="e">
        <f>AND(#REF!,"AAAAAHv/esw=")</f>
        <v>#REF!</v>
      </c>
      <c r="GX46" t="e">
        <f>AND(#REF!,"AAAAAHv/es0=")</f>
        <v>#REF!</v>
      </c>
      <c r="GY46" t="e">
        <f>AND(#REF!,"AAAAAHv/es4=")</f>
        <v>#REF!</v>
      </c>
      <c r="GZ46" t="e">
        <f>AND(#REF!,"AAAAAHv/es8=")</f>
        <v>#REF!</v>
      </c>
      <c r="HA46" t="e">
        <f>AND(#REF!,"AAAAAHv/etA=")</f>
        <v>#REF!</v>
      </c>
      <c r="HB46" t="e">
        <f>AND(#REF!,"AAAAAHv/etE=")</f>
        <v>#REF!</v>
      </c>
      <c r="HC46" t="e">
        <f>AND(#REF!,"AAAAAHv/etI=")</f>
        <v>#REF!</v>
      </c>
      <c r="HD46" t="e">
        <f>AND(#REF!,"AAAAAHv/etM=")</f>
        <v>#REF!</v>
      </c>
      <c r="HE46" t="e">
        <f>AND(#REF!,"AAAAAHv/etQ=")</f>
        <v>#REF!</v>
      </c>
      <c r="HF46" t="e">
        <f>AND(#REF!,"AAAAAHv/etU=")</f>
        <v>#REF!</v>
      </c>
      <c r="HG46" t="e">
        <f>AND(#REF!,"AAAAAHv/etY=")</f>
        <v>#REF!</v>
      </c>
      <c r="HH46" t="e">
        <f>AND(#REF!,"AAAAAHv/etc=")</f>
        <v>#REF!</v>
      </c>
      <c r="HI46" t="e">
        <f>AND(#REF!,"AAAAAHv/etg=")</f>
        <v>#REF!</v>
      </c>
      <c r="HJ46" t="e">
        <f>AND(#REF!,"AAAAAHv/etk=")</f>
        <v>#REF!</v>
      </c>
      <c r="HK46" t="e">
        <f>AND(#REF!,"AAAAAHv/eto=")</f>
        <v>#REF!</v>
      </c>
      <c r="HL46" t="e">
        <f>AND(#REF!,"AAAAAHv/ets=")</f>
        <v>#REF!</v>
      </c>
      <c r="HM46" t="e">
        <f>AND(#REF!,"AAAAAHv/etw=")</f>
        <v>#REF!</v>
      </c>
      <c r="HN46" t="e">
        <f>AND(#REF!,"AAAAAHv/et0=")</f>
        <v>#REF!</v>
      </c>
      <c r="HO46" t="e">
        <f>AND(#REF!,"AAAAAHv/et4=")</f>
        <v>#REF!</v>
      </c>
      <c r="HP46" t="e">
        <f>AND(#REF!,"AAAAAHv/et8=")</f>
        <v>#REF!</v>
      </c>
      <c r="HQ46" t="e">
        <f>AND(#REF!,"AAAAAHv/euA=")</f>
        <v>#REF!</v>
      </c>
      <c r="HR46" t="e">
        <f>AND(#REF!,"AAAAAHv/euE=")</f>
        <v>#REF!</v>
      </c>
      <c r="HS46" t="e">
        <f>AND(#REF!,"AAAAAHv/euI=")</f>
        <v>#REF!</v>
      </c>
      <c r="HT46" t="e">
        <f>AND(#REF!,"AAAAAHv/euM=")</f>
        <v>#REF!</v>
      </c>
      <c r="HU46" t="e">
        <f>AND(#REF!,"AAAAAHv/euQ=")</f>
        <v>#REF!</v>
      </c>
      <c r="HV46" t="e">
        <f>IF(#REF!,"AAAAAHv/euU=",0)</f>
        <v>#REF!</v>
      </c>
      <c r="HW46" t="e">
        <f>AND(#REF!,"AAAAAHv/euY=")</f>
        <v>#REF!</v>
      </c>
      <c r="HX46" t="e">
        <f>AND(#REF!,"AAAAAHv/euc=")</f>
        <v>#REF!</v>
      </c>
      <c r="HY46" t="e">
        <f>AND(#REF!,"AAAAAHv/eug=")</f>
        <v>#REF!</v>
      </c>
      <c r="HZ46" t="e">
        <f>AND(#REF!,"AAAAAHv/euk=")</f>
        <v>#REF!</v>
      </c>
      <c r="IA46" t="e">
        <f>AND(#REF!,"AAAAAHv/euo=")</f>
        <v>#REF!</v>
      </c>
      <c r="IB46" t="e">
        <f>AND(#REF!,"AAAAAHv/eus=")</f>
        <v>#REF!</v>
      </c>
      <c r="IC46" t="e">
        <f>AND(#REF!,"AAAAAHv/euw=")</f>
        <v>#REF!</v>
      </c>
      <c r="ID46" t="e">
        <f>AND(#REF!,"AAAAAHv/eu0=")</f>
        <v>#REF!</v>
      </c>
      <c r="IE46" t="e">
        <f>AND(#REF!,"AAAAAHv/eu4=")</f>
        <v>#REF!</v>
      </c>
      <c r="IF46" t="e">
        <f>AND(#REF!,"AAAAAHv/eu8=")</f>
        <v>#REF!</v>
      </c>
      <c r="IG46" t="e">
        <f>AND(#REF!,"AAAAAHv/evA=")</f>
        <v>#REF!</v>
      </c>
      <c r="IH46" t="e">
        <f>AND(#REF!,"AAAAAHv/evE=")</f>
        <v>#REF!</v>
      </c>
      <c r="II46" t="e">
        <f>AND(#REF!,"AAAAAHv/evI=")</f>
        <v>#REF!</v>
      </c>
      <c r="IJ46" t="e">
        <f>AND(#REF!,"AAAAAHv/evM=")</f>
        <v>#REF!</v>
      </c>
      <c r="IK46" t="e">
        <f>AND(#REF!,"AAAAAHv/evQ=")</f>
        <v>#REF!</v>
      </c>
      <c r="IL46" t="e">
        <f>AND(#REF!,"AAAAAHv/evU=")</f>
        <v>#REF!</v>
      </c>
      <c r="IM46" t="e">
        <f>AND(#REF!,"AAAAAHv/evY=")</f>
        <v>#REF!</v>
      </c>
      <c r="IN46" t="e">
        <f>AND(#REF!,"AAAAAHv/evc=")</f>
        <v>#REF!</v>
      </c>
      <c r="IO46" t="e">
        <f>AND(#REF!,"AAAAAHv/evg=")</f>
        <v>#REF!</v>
      </c>
      <c r="IP46" t="e">
        <f>AND(#REF!,"AAAAAHv/evk=")</f>
        <v>#REF!</v>
      </c>
      <c r="IQ46" t="e">
        <f>AND(#REF!,"AAAAAHv/evo=")</f>
        <v>#REF!</v>
      </c>
      <c r="IR46" t="e">
        <f>AND(#REF!,"AAAAAHv/evs=")</f>
        <v>#REF!</v>
      </c>
      <c r="IS46" t="e">
        <f>AND(#REF!,"AAAAAHv/evw=")</f>
        <v>#REF!</v>
      </c>
      <c r="IT46" t="e">
        <f>AND(#REF!,"AAAAAHv/ev0=")</f>
        <v>#REF!</v>
      </c>
      <c r="IU46" t="e">
        <f>AND(#REF!,"AAAAAHv/ev4=")</f>
        <v>#REF!</v>
      </c>
      <c r="IV46" t="e">
        <f>AND(#REF!,"AAAAAHv/ev8=")</f>
        <v>#REF!</v>
      </c>
    </row>
    <row r="47" spans="1:256" x14ac:dyDescent="0.2">
      <c r="A47" t="e">
        <f>AND(#REF!,"AAAAAGp+uwA=")</f>
        <v>#REF!</v>
      </c>
      <c r="B47" t="e">
        <f>AND(#REF!,"AAAAAGp+uwE=")</f>
        <v>#REF!</v>
      </c>
      <c r="C47" t="e">
        <f>AND(#REF!,"AAAAAGp+uwI=")</f>
        <v>#REF!</v>
      </c>
      <c r="D47" t="e">
        <f>AND(#REF!,"AAAAAGp+uwM=")</f>
        <v>#REF!</v>
      </c>
      <c r="E47" t="e">
        <f>AND(#REF!,"AAAAAGp+uwQ=")</f>
        <v>#REF!</v>
      </c>
      <c r="F47" t="e">
        <f>AND(#REF!,"AAAAAGp+uwU=")</f>
        <v>#REF!</v>
      </c>
      <c r="G47" t="e">
        <f>AND(#REF!,"AAAAAGp+uwY=")</f>
        <v>#REF!</v>
      </c>
      <c r="H47" t="e">
        <f>AND(#REF!,"AAAAAGp+uwc=")</f>
        <v>#REF!</v>
      </c>
      <c r="I47" t="e">
        <f>AND(#REF!,"AAAAAGp+uwg=")</f>
        <v>#REF!</v>
      </c>
      <c r="J47" t="e">
        <f>AND(#REF!,"AAAAAGp+uwk=")</f>
        <v>#REF!</v>
      </c>
      <c r="K47" t="e">
        <f>AND(#REF!,"AAAAAGp+uwo=")</f>
        <v>#REF!</v>
      </c>
      <c r="L47" t="e">
        <f>AND(#REF!,"AAAAAGp+uws=")</f>
        <v>#REF!</v>
      </c>
      <c r="M47" t="e">
        <f>AND(#REF!,"AAAAAGp+uww=")</f>
        <v>#REF!</v>
      </c>
      <c r="N47" t="e">
        <f>IF(#REF!,"AAAAAGp+uw0=",0)</f>
        <v>#REF!</v>
      </c>
      <c r="O47" t="e">
        <f>AND(#REF!,"AAAAAGp+uw4=")</f>
        <v>#REF!</v>
      </c>
      <c r="P47" t="e">
        <f>AND(#REF!,"AAAAAGp+uw8=")</f>
        <v>#REF!</v>
      </c>
      <c r="Q47" t="e">
        <f>AND(#REF!,"AAAAAGp+uxA=")</f>
        <v>#REF!</v>
      </c>
      <c r="R47" t="e">
        <f>AND(#REF!,"AAAAAGp+uxE=")</f>
        <v>#REF!</v>
      </c>
      <c r="S47" t="e">
        <f>AND(#REF!,"AAAAAGp+uxI=")</f>
        <v>#REF!</v>
      </c>
      <c r="T47" t="e">
        <f>AND(#REF!,"AAAAAGp+uxM=")</f>
        <v>#REF!</v>
      </c>
      <c r="U47" t="e">
        <f>AND(#REF!,"AAAAAGp+uxQ=")</f>
        <v>#REF!</v>
      </c>
      <c r="V47" t="e">
        <f>AND(#REF!,"AAAAAGp+uxU=")</f>
        <v>#REF!</v>
      </c>
      <c r="W47" t="e">
        <f>AND(#REF!,"AAAAAGp+uxY=")</f>
        <v>#REF!</v>
      </c>
      <c r="X47" t="e">
        <f>AND(#REF!,"AAAAAGp+uxc=")</f>
        <v>#REF!</v>
      </c>
      <c r="Y47" t="e">
        <f>AND(#REF!,"AAAAAGp+uxg=")</f>
        <v>#REF!</v>
      </c>
      <c r="Z47" t="e">
        <f>AND(#REF!,"AAAAAGp+uxk=")</f>
        <v>#REF!</v>
      </c>
      <c r="AA47" t="e">
        <f>AND(#REF!,"AAAAAGp+uxo=")</f>
        <v>#REF!</v>
      </c>
      <c r="AB47" t="e">
        <f>AND(#REF!,"AAAAAGp+uxs=")</f>
        <v>#REF!</v>
      </c>
      <c r="AC47" t="e">
        <f>AND(#REF!,"AAAAAGp+uxw=")</f>
        <v>#REF!</v>
      </c>
      <c r="AD47" t="e">
        <f>AND(#REF!,"AAAAAGp+ux0=")</f>
        <v>#REF!</v>
      </c>
      <c r="AE47" t="e">
        <f>AND(#REF!,"AAAAAGp+ux4=")</f>
        <v>#REF!</v>
      </c>
      <c r="AF47" t="e">
        <f>AND(#REF!,"AAAAAGp+ux8=")</f>
        <v>#REF!</v>
      </c>
      <c r="AG47" t="e">
        <f>AND(#REF!,"AAAAAGp+uyA=")</f>
        <v>#REF!</v>
      </c>
      <c r="AH47" t="e">
        <f>AND(#REF!,"AAAAAGp+uyE=")</f>
        <v>#REF!</v>
      </c>
      <c r="AI47" t="e">
        <f>AND(#REF!,"AAAAAGp+uyI=")</f>
        <v>#REF!</v>
      </c>
      <c r="AJ47" t="e">
        <f>AND(#REF!,"AAAAAGp+uyM=")</f>
        <v>#REF!</v>
      </c>
      <c r="AK47" t="e">
        <f>AND(#REF!,"AAAAAGp+uyQ=")</f>
        <v>#REF!</v>
      </c>
      <c r="AL47" t="e">
        <f>AND(#REF!,"AAAAAGp+uyU=")</f>
        <v>#REF!</v>
      </c>
      <c r="AM47" t="e">
        <f>AND(#REF!,"AAAAAGp+uyY=")</f>
        <v>#REF!</v>
      </c>
      <c r="AN47" t="e">
        <f>AND(#REF!,"AAAAAGp+uyc=")</f>
        <v>#REF!</v>
      </c>
      <c r="AO47" t="e">
        <f>AND(#REF!,"AAAAAGp+uyg=")</f>
        <v>#REF!</v>
      </c>
      <c r="AP47" t="e">
        <f>AND(#REF!,"AAAAAGp+uyk=")</f>
        <v>#REF!</v>
      </c>
      <c r="AQ47" t="e">
        <f>AND(#REF!,"AAAAAGp+uyo=")</f>
        <v>#REF!</v>
      </c>
      <c r="AR47" t="e">
        <f>AND(#REF!,"AAAAAGp+uys=")</f>
        <v>#REF!</v>
      </c>
      <c r="AS47" t="e">
        <f>AND(#REF!,"AAAAAGp+uyw=")</f>
        <v>#REF!</v>
      </c>
      <c r="AT47" t="e">
        <f>AND(#REF!,"AAAAAGp+uy0=")</f>
        <v>#REF!</v>
      </c>
      <c r="AU47" t="e">
        <f>AND(#REF!,"AAAAAGp+uy4=")</f>
        <v>#REF!</v>
      </c>
      <c r="AV47" t="e">
        <f>AND(#REF!,"AAAAAGp+uy8=")</f>
        <v>#REF!</v>
      </c>
      <c r="AW47" t="e">
        <f>AND(#REF!,"AAAAAGp+uzA=")</f>
        <v>#REF!</v>
      </c>
      <c r="AX47" t="e">
        <f>AND(#REF!,"AAAAAGp+uzE=")</f>
        <v>#REF!</v>
      </c>
      <c r="AY47" t="e">
        <f>AND(#REF!,"AAAAAGp+uzI=")</f>
        <v>#REF!</v>
      </c>
      <c r="AZ47" t="e">
        <f>AND(#REF!,"AAAAAGp+uzM=")</f>
        <v>#REF!</v>
      </c>
      <c r="BA47" t="e">
        <f>AND(#REF!,"AAAAAGp+uzQ=")</f>
        <v>#REF!</v>
      </c>
      <c r="BB47" t="e">
        <f>IF(#REF!,"AAAAAGp+uzU=",0)</f>
        <v>#REF!</v>
      </c>
      <c r="BC47" t="e">
        <f>AND(#REF!,"AAAAAGp+uzY=")</f>
        <v>#REF!</v>
      </c>
      <c r="BD47" t="e">
        <f>AND(#REF!,"AAAAAGp+uzc=")</f>
        <v>#REF!</v>
      </c>
      <c r="BE47" t="e">
        <f>AND(#REF!,"AAAAAGp+uzg=")</f>
        <v>#REF!</v>
      </c>
      <c r="BF47" t="e">
        <f>AND(#REF!,"AAAAAGp+uzk=")</f>
        <v>#REF!</v>
      </c>
      <c r="BG47" t="e">
        <f>AND(#REF!,"AAAAAGp+uzo=")</f>
        <v>#REF!</v>
      </c>
      <c r="BH47" t="e">
        <f>AND(#REF!,"AAAAAGp+uzs=")</f>
        <v>#REF!</v>
      </c>
      <c r="BI47" t="e">
        <f>AND(#REF!,"AAAAAGp+uzw=")</f>
        <v>#REF!</v>
      </c>
      <c r="BJ47" t="e">
        <f>AND(#REF!,"AAAAAGp+uz0=")</f>
        <v>#REF!</v>
      </c>
      <c r="BK47" t="e">
        <f>AND(#REF!,"AAAAAGp+uz4=")</f>
        <v>#REF!</v>
      </c>
      <c r="BL47" t="e">
        <f>AND(#REF!,"AAAAAGp+uz8=")</f>
        <v>#REF!</v>
      </c>
      <c r="BM47" t="e">
        <f>AND(#REF!,"AAAAAGp+u0A=")</f>
        <v>#REF!</v>
      </c>
      <c r="BN47" t="e">
        <f>AND(#REF!,"AAAAAGp+u0E=")</f>
        <v>#REF!</v>
      </c>
      <c r="BO47" t="e">
        <f>AND(#REF!,"AAAAAGp+u0I=")</f>
        <v>#REF!</v>
      </c>
      <c r="BP47" t="e">
        <f>AND(#REF!,"AAAAAGp+u0M=")</f>
        <v>#REF!</v>
      </c>
      <c r="BQ47" t="e">
        <f>AND(#REF!,"AAAAAGp+u0Q=")</f>
        <v>#REF!</v>
      </c>
      <c r="BR47" t="e">
        <f>AND(#REF!,"AAAAAGp+u0U=")</f>
        <v>#REF!</v>
      </c>
      <c r="BS47" t="e">
        <f>AND(#REF!,"AAAAAGp+u0Y=")</f>
        <v>#REF!</v>
      </c>
      <c r="BT47" t="e">
        <f>AND(#REF!,"AAAAAGp+u0c=")</f>
        <v>#REF!</v>
      </c>
      <c r="BU47" t="e">
        <f>AND(#REF!,"AAAAAGp+u0g=")</f>
        <v>#REF!</v>
      </c>
      <c r="BV47" t="e">
        <f>AND(#REF!,"AAAAAGp+u0k=")</f>
        <v>#REF!</v>
      </c>
      <c r="BW47" t="e">
        <f>AND(#REF!,"AAAAAGp+u0o=")</f>
        <v>#REF!</v>
      </c>
      <c r="BX47" t="e">
        <f>AND(#REF!,"AAAAAGp+u0s=")</f>
        <v>#REF!</v>
      </c>
      <c r="BY47" t="e">
        <f>AND(#REF!,"AAAAAGp+u0w=")</f>
        <v>#REF!</v>
      </c>
      <c r="BZ47" t="e">
        <f>AND(#REF!,"AAAAAGp+u00=")</f>
        <v>#REF!</v>
      </c>
      <c r="CA47" t="e">
        <f>AND(#REF!,"AAAAAGp+u04=")</f>
        <v>#REF!</v>
      </c>
      <c r="CB47" t="e">
        <f>AND(#REF!,"AAAAAGp+u08=")</f>
        <v>#REF!</v>
      </c>
      <c r="CC47" t="e">
        <f>AND(#REF!,"AAAAAGp+u1A=")</f>
        <v>#REF!</v>
      </c>
      <c r="CD47" t="e">
        <f>AND(#REF!,"AAAAAGp+u1E=")</f>
        <v>#REF!</v>
      </c>
      <c r="CE47" t="e">
        <f>AND(#REF!,"AAAAAGp+u1I=")</f>
        <v>#REF!</v>
      </c>
      <c r="CF47" t="e">
        <f>AND(#REF!,"AAAAAGp+u1M=")</f>
        <v>#REF!</v>
      </c>
      <c r="CG47" t="e">
        <f>AND(#REF!,"AAAAAGp+u1Q=")</f>
        <v>#REF!</v>
      </c>
      <c r="CH47" t="e">
        <f>AND(#REF!,"AAAAAGp+u1U=")</f>
        <v>#REF!</v>
      </c>
      <c r="CI47" t="e">
        <f>AND(#REF!,"AAAAAGp+u1Y=")</f>
        <v>#REF!</v>
      </c>
      <c r="CJ47" t="e">
        <f>AND(#REF!,"AAAAAGp+u1c=")</f>
        <v>#REF!</v>
      </c>
      <c r="CK47" t="e">
        <f>AND(#REF!,"AAAAAGp+u1g=")</f>
        <v>#REF!</v>
      </c>
      <c r="CL47" t="e">
        <f>AND(#REF!,"AAAAAGp+u1k=")</f>
        <v>#REF!</v>
      </c>
      <c r="CM47" t="e">
        <f>AND(#REF!,"AAAAAGp+u1o=")</f>
        <v>#REF!</v>
      </c>
      <c r="CN47" t="e">
        <f>AND(#REF!,"AAAAAGp+u1s=")</f>
        <v>#REF!</v>
      </c>
      <c r="CO47" t="e">
        <f>AND(#REF!,"AAAAAGp+u1w=")</f>
        <v>#REF!</v>
      </c>
      <c r="CP47" t="e">
        <f>IF(#REF!,"AAAAAGp+u10=",0)</f>
        <v>#REF!</v>
      </c>
      <c r="CQ47" t="e">
        <f>AND(#REF!,"AAAAAGp+u14=")</f>
        <v>#REF!</v>
      </c>
      <c r="CR47" t="e">
        <f>AND(#REF!,"AAAAAGp+u18=")</f>
        <v>#REF!</v>
      </c>
      <c r="CS47" t="e">
        <f>AND(#REF!,"AAAAAGp+u2A=")</f>
        <v>#REF!</v>
      </c>
      <c r="CT47" t="e">
        <f>AND(#REF!,"AAAAAGp+u2E=")</f>
        <v>#REF!</v>
      </c>
      <c r="CU47" t="e">
        <f>AND(#REF!,"AAAAAGp+u2I=")</f>
        <v>#REF!</v>
      </c>
      <c r="CV47" t="e">
        <f>AND(#REF!,"AAAAAGp+u2M=")</f>
        <v>#REF!</v>
      </c>
      <c r="CW47" t="e">
        <f>AND(#REF!,"AAAAAGp+u2Q=")</f>
        <v>#REF!</v>
      </c>
      <c r="CX47" t="e">
        <f>AND(#REF!,"AAAAAGp+u2U=")</f>
        <v>#REF!</v>
      </c>
      <c r="CY47" t="e">
        <f>AND(#REF!,"AAAAAGp+u2Y=")</f>
        <v>#REF!</v>
      </c>
      <c r="CZ47" t="e">
        <f>AND(#REF!,"AAAAAGp+u2c=")</f>
        <v>#REF!</v>
      </c>
      <c r="DA47" t="e">
        <f>AND(#REF!,"AAAAAGp+u2g=")</f>
        <v>#REF!</v>
      </c>
      <c r="DB47" t="e">
        <f>AND(#REF!,"AAAAAGp+u2k=")</f>
        <v>#REF!</v>
      </c>
      <c r="DC47" t="e">
        <f>AND(#REF!,"AAAAAGp+u2o=")</f>
        <v>#REF!</v>
      </c>
      <c r="DD47" t="e">
        <f>AND(#REF!,"AAAAAGp+u2s=")</f>
        <v>#REF!</v>
      </c>
      <c r="DE47" t="e">
        <f>AND(#REF!,"AAAAAGp+u2w=")</f>
        <v>#REF!</v>
      </c>
      <c r="DF47" t="e">
        <f>AND(#REF!,"AAAAAGp+u20=")</f>
        <v>#REF!</v>
      </c>
      <c r="DG47" t="e">
        <f>AND(#REF!,"AAAAAGp+u24=")</f>
        <v>#REF!</v>
      </c>
      <c r="DH47" t="e">
        <f>AND(#REF!,"AAAAAGp+u28=")</f>
        <v>#REF!</v>
      </c>
      <c r="DI47" t="e">
        <f>AND(#REF!,"AAAAAGp+u3A=")</f>
        <v>#REF!</v>
      </c>
      <c r="DJ47" t="e">
        <f>AND(#REF!,"AAAAAGp+u3E=")</f>
        <v>#REF!</v>
      </c>
      <c r="DK47" t="e">
        <f>AND(#REF!,"AAAAAGp+u3I=")</f>
        <v>#REF!</v>
      </c>
      <c r="DL47" t="e">
        <f>AND(#REF!,"AAAAAGp+u3M=")</f>
        <v>#REF!</v>
      </c>
      <c r="DM47" t="e">
        <f>AND(#REF!,"AAAAAGp+u3Q=")</f>
        <v>#REF!</v>
      </c>
      <c r="DN47" t="e">
        <f>AND(#REF!,"AAAAAGp+u3U=")</f>
        <v>#REF!</v>
      </c>
      <c r="DO47" t="e">
        <f>AND(#REF!,"AAAAAGp+u3Y=")</f>
        <v>#REF!</v>
      </c>
      <c r="DP47" t="e">
        <f>AND(#REF!,"AAAAAGp+u3c=")</f>
        <v>#REF!</v>
      </c>
      <c r="DQ47" t="e">
        <f>AND(#REF!,"AAAAAGp+u3g=")</f>
        <v>#REF!</v>
      </c>
      <c r="DR47" t="e">
        <f>AND(#REF!,"AAAAAGp+u3k=")</f>
        <v>#REF!</v>
      </c>
      <c r="DS47" t="e">
        <f>AND(#REF!,"AAAAAGp+u3o=")</f>
        <v>#REF!</v>
      </c>
      <c r="DT47" t="e">
        <f>AND(#REF!,"AAAAAGp+u3s=")</f>
        <v>#REF!</v>
      </c>
      <c r="DU47" t="e">
        <f>AND(#REF!,"AAAAAGp+u3w=")</f>
        <v>#REF!</v>
      </c>
      <c r="DV47" t="e">
        <f>AND(#REF!,"AAAAAGp+u30=")</f>
        <v>#REF!</v>
      </c>
      <c r="DW47" t="e">
        <f>AND(#REF!,"AAAAAGp+u34=")</f>
        <v>#REF!</v>
      </c>
      <c r="DX47" t="e">
        <f>AND(#REF!,"AAAAAGp+u38=")</f>
        <v>#REF!</v>
      </c>
      <c r="DY47" t="e">
        <f>AND(#REF!,"AAAAAGp+u4A=")</f>
        <v>#REF!</v>
      </c>
      <c r="DZ47" t="e">
        <f>AND(#REF!,"AAAAAGp+u4E=")</f>
        <v>#REF!</v>
      </c>
      <c r="EA47" t="e">
        <f>AND(#REF!,"AAAAAGp+u4I=")</f>
        <v>#REF!</v>
      </c>
      <c r="EB47" t="e">
        <f>AND(#REF!,"AAAAAGp+u4M=")</f>
        <v>#REF!</v>
      </c>
      <c r="EC47" t="e">
        <f>AND(#REF!,"AAAAAGp+u4Q=")</f>
        <v>#REF!</v>
      </c>
      <c r="ED47" t="e">
        <f>IF(#REF!,"AAAAAGp+u4U=",0)</f>
        <v>#REF!</v>
      </c>
      <c r="EE47" t="e">
        <f>AND(#REF!,"AAAAAGp+u4Y=")</f>
        <v>#REF!</v>
      </c>
      <c r="EF47" t="e">
        <f>AND(#REF!,"AAAAAGp+u4c=")</f>
        <v>#REF!</v>
      </c>
      <c r="EG47" t="e">
        <f>AND(#REF!,"AAAAAGp+u4g=")</f>
        <v>#REF!</v>
      </c>
      <c r="EH47" t="e">
        <f>AND(#REF!,"AAAAAGp+u4k=")</f>
        <v>#REF!</v>
      </c>
      <c r="EI47" t="e">
        <f>AND(#REF!,"AAAAAGp+u4o=")</f>
        <v>#REF!</v>
      </c>
      <c r="EJ47" t="e">
        <f>AND(#REF!,"AAAAAGp+u4s=")</f>
        <v>#REF!</v>
      </c>
      <c r="EK47" t="e">
        <f>AND(#REF!,"AAAAAGp+u4w=")</f>
        <v>#REF!</v>
      </c>
      <c r="EL47" t="e">
        <f>AND(#REF!,"AAAAAGp+u40=")</f>
        <v>#REF!</v>
      </c>
      <c r="EM47" t="e">
        <f>AND(#REF!,"AAAAAGp+u44=")</f>
        <v>#REF!</v>
      </c>
      <c r="EN47" t="e">
        <f>AND(#REF!,"AAAAAGp+u48=")</f>
        <v>#REF!</v>
      </c>
      <c r="EO47" t="e">
        <f>AND(#REF!,"AAAAAGp+u5A=")</f>
        <v>#REF!</v>
      </c>
      <c r="EP47" t="e">
        <f>AND(#REF!,"AAAAAGp+u5E=")</f>
        <v>#REF!</v>
      </c>
      <c r="EQ47" t="e">
        <f>AND(#REF!,"AAAAAGp+u5I=")</f>
        <v>#REF!</v>
      </c>
      <c r="ER47" t="e">
        <f>AND(#REF!,"AAAAAGp+u5M=")</f>
        <v>#REF!</v>
      </c>
      <c r="ES47" t="e">
        <f>AND(#REF!,"AAAAAGp+u5Q=")</f>
        <v>#REF!</v>
      </c>
      <c r="ET47" t="e">
        <f>AND(#REF!,"AAAAAGp+u5U=")</f>
        <v>#REF!</v>
      </c>
      <c r="EU47" t="e">
        <f>AND(#REF!,"AAAAAGp+u5Y=")</f>
        <v>#REF!</v>
      </c>
      <c r="EV47" t="e">
        <f>AND(#REF!,"AAAAAGp+u5c=")</f>
        <v>#REF!</v>
      </c>
      <c r="EW47" t="e">
        <f>AND(#REF!,"AAAAAGp+u5g=")</f>
        <v>#REF!</v>
      </c>
      <c r="EX47" t="e">
        <f>AND(#REF!,"AAAAAGp+u5k=")</f>
        <v>#REF!</v>
      </c>
      <c r="EY47" t="e">
        <f>AND(#REF!,"AAAAAGp+u5o=")</f>
        <v>#REF!</v>
      </c>
      <c r="EZ47" t="e">
        <f>AND(#REF!,"AAAAAGp+u5s=")</f>
        <v>#REF!</v>
      </c>
      <c r="FA47" t="e">
        <f>AND(#REF!,"AAAAAGp+u5w=")</f>
        <v>#REF!</v>
      </c>
      <c r="FB47" t="e">
        <f>AND(#REF!,"AAAAAGp+u50=")</f>
        <v>#REF!</v>
      </c>
      <c r="FC47" t="e">
        <f>AND(#REF!,"AAAAAGp+u54=")</f>
        <v>#REF!</v>
      </c>
      <c r="FD47" t="e">
        <f>AND(#REF!,"AAAAAGp+u58=")</f>
        <v>#REF!</v>
      </c>
      <c r="FE47" t="e">
        <f>AND(#REF!,"AAAAAGp+u6A=")</f>
        <v>#REF!</v>
      </c>
      <c r="FF47" t="e">
        <f>AND(#REF!,"AAAAAGp+u6E=")</f>
        <v>#REF!</v>
      </c>
      <c r="FG47" t="e">
        <f>AND(#REF!,"AAAAAGp+u6I=")</f>
        <v>#REF!</v>
      </c>
      <c r="FH47" t="e">
        <f>AND(#REF!,"AAAAAGp+u6M=")</f>
        <v>#REF!</v>
      </c>
      <c r="FI47" t="e">
        <f>AND(#REF!,"AAAAAGp+u6Q=")</f>
        <v>#REF!</v>
      </c>
      <c r="FJ47" t="e">
        <f>AND(#REF!,"AAAAAGp+u6U=")</f>
        <v>#REF!</v>
      </c>
      <c r="FK47" t="e">
        <f>AND(#REF!,"AAAAAGp+u6Y=")</f>
        <v>#REF!</v>
      </c>
      <c r="FL47" t="e">
        <f>AND(#REF!,"AAAAAGp+u6c=")</f>
        <v>#REF!</v>
      </c>
      <c r="FM47" t="e">
        <f>AND(#REF!,"AAAAAGp+u6g=")</f>
        <v>#REF!</v>
      </c>
      <c r="FN47" t="e">
        <f>AND(#REF!,"AAAAAGp+u6k=")</f>
        <v>#REF!</v>
      </c>
      <c r="FO47" t="e">
        <f>AND(#REF!,"AAAAAGp+u6o=")</f>
        <v>#REF!</v>
      </c>
      <c r="FP47" t="e">
        <f>AND(#REF!,"AAAAAGp+u6s=")</f>
        <v>#REF!</v>
      </c>
      <c r="FQ47" t="e">
        <f>AND(#REF!,"AAAAAGp+u6w=")</f>
        <v>#REF!</v>
      </c>
      <c r="FR47" t="e">
        <f>IF(#REF!,"AAAAAGp+u60=",0)</f>
        <v>#REF!</v>
      </c>
      <c r="FS47" t="e">
        <f>AND(#REF!,"AAAAAGp+u64=")</f>
        <v>#REF!</v>
      </c>
      <c r="FT47" t="e">
        <f>AND(#REF!,"AAAAAGp+u68=")</f>
        <v>#REF!</v>
      </c>
      <c r="FU47" t="e">
        <f>AND(#REF!,"AAAAAGp+u7A=")</f>
        <v>#REF!</v>
      </c>
      <c r="FV47" t="e">
        <f>AND(#REF!,"AAAAAGp+u7E=")</f>
        <v>#REF!</v>
      </c>
      <c r="FW47" t="e">
        <f>AND(#REF!,"AAAAAGp+u7I=")</f>
        <v>#REF!</v>
      </c>
      <c r="FX47" t="e">
        <f>AND(#REF!,"AAAAAGp+u7M=")</f>
        <v>#REF!</v>
      </c>
      <c r="FY47" t="e">
        <f>AND(#REF!,"AAAAAGp+u7Q=")</f>
        <v>#REF!</v>
      </c>
      <c r="FZ47" t="e">
        <f>AND(#REF!,"AAAAAGp+u7U=")</f>
        <v>#REF!</v>
      </c>
      <c r="GA47" t="e">
        <f>AND(#REF!,"AAAAAGp+u7Y=")</f>
        <v>#REF!</v>
      </c>
      <c r="GB47" t="e">
        <f>AND(#REF!,"AAAAAGp+u7c=")</f>
        <v>#REF!</v>
      </c>
      <c r="GC47" t="e">
        <f>AND(#REF!,"AAAAAGp+u7g=")</f>
        <v>#REF!</v>
      </c>
      <c r="GD47" t="e">
        <f>AND(#REF!,"AAAAAGp+u7k=")</f>
        <v>#REF!</v>
      </c>
      <c r="GE47" t="e">
        <f>AND(#REF!,"AAAAAGp+u7o=")</f>
        <v>#REF!</v>
      </c>
      <c r="GF47" t="e">
        <f>AND(#REF!,"AAAAAGp+u7s=")</f>
        <v>#REF!</v>
      </c>
      <c r="GG47" t="e">
        <f>AND(#REF!,"AAAAAGp+u7w=")</f>
        <v>#REF!</v>
      </c>
      <c r="GH47" t="e">
        <f>AND(#REF!,"AAAAAGp+u70=")</f>
        <v>#REF!</v>
      </c>
      <c r="GI47" t="e">
        <f>AND(#REF!,"AAAAAGp+u74=")</f>
        <v>#REF!</v>
      </c>
      <c r="GJ47" t="e">
        <f>AND(#REF!,"AAAAAGp+u78=")</f>
        <v>#REF!</v>
      </c>
      <c r="GK47" t="e">
        <f>AND(#REF!,"AAAAAGp+u8A=")</f>
        <v>#REF!</v>
      </c>
      <c r="GL47" t="e">
        <f>AND(#REF!,"AAAAAGp+u8E=")</f>
        <v>#REF!</v>
      </c>
      <c r="GM47" t="e">
        <f>AND(#REF!,"AAAAAGp+u8I=")</f>
        <v>#REF!</v>
      </c>
      <c r="GN47" t="e">
        <f>AND(#REF!,"AAAAAGp+u8M=")</f>
        <v>#REF!</v>
      </c>
      <c r="GO47" t="e">
        <f>AND(#REF!,"AAAAAGp+u8Q=")</f>
        <v>#REF!</v>
      </c>
      <c r="GP47" t="e">
        <f>AND(#REF!,"AAAAAGp+u8U=")</f>
        <v>#REF!</v>
      </c>
      <c r="GQ47" t="e">
        <f>AND(#REF!,"AAAAAGp+u8Y=")</f>
        <v>#REF!</v>
      </c>
      <c r="GR47" t="e">
        <f>AND(#REF!,"AAAAAGp+u8c=")</f>
        <v>#REF!</v>
      </c>
      <c r="GS47" t="e">
        <f>AND(#REF!,"AAAAAGp+u8g=")</f>
        <v>#REF!</v>
      </c>
      <c r="GT47" t="e">
        <f>AND(#REF!,"AAAAAGp+u8k=")</f>
        <v>#REF!</v>
      </c>
      <c r="GU47" t="e">
        <f>AND(#REF!,"AAAAAGp+u8o=")</f>
        <v>#REF!</v>
      </c>
      <c r="GV47" t="e">
        <f>AND(#REF!,"AAAAAGp+u8s=")</f>
        <v>#REF!</v>
      </c>
      <c r="GW47" t="e">
        <f>AND(#REF!,"AAAAAGp+u8w=")</f>
        <v>#REF!</v>
      </c>
      <c r="GX47" t="e">
        <f>AND(#REF!,"AAAAAGp+u80=")</f>
        <v>#REF!</v>
      </c>
      <c r="GY47" t="e">
        <f>AND(#REF!,"AAAAAGp+u84=")</f>
        <v>#REF!</v>
      </c>
      <c r="GZ47" t="e">
        <f>AND(#REF!,"AAAAAGp+u88=")</f>
        <v>#REF!</v>
      </c>
      <c r="HA47" t="e">
        <f>AND(#REF!,"AAAAAGp+u9A=")</f>
        <v>#REF!</v>
      </c>
      <c r="HB47" t="e">
        <f>AND(#REF!,"AAAAAGp+u9E=")</f>
        <v>#REF!</v>
      </c>
      <c r="HC47" t="e">
        <f>AND(#REF!,"AAAAAGp+u9I=")</f>
        <v>#REF!</v>
      </c>
      <c r="HD47" t="e">
        <f>AND(#REF!,"AAAAAGp+u9M=")</f>
        <v>#REF!</v>
      </c>
      <c r="HE47" t="e">
        <f>AND(#REF!,"AAAAAGp+u9Q=")</f>
        <v>#REF!</v>
      </c>
      <c r="HF47" t="e">
        <f>IF(#REF!,"AAAAAGp+u9U=",0)</f>
        <v>#REF!</v>
      </c>
      <c r="HG47" t="e">
        <f>AND(#REF!,"AAAAAGp+u9Y=")</f>
        <v>#REF!</v>
      </c>
      <c r="HH47" t="e">
        <f>AND(#REF!,"AAAAAGp+u9c=")</f>
        <v>#REF!</v>
      </c>
      <c r="HI47" t="e">
        <f>AND(#REF!,"AAAAAGp+u9g=")</f>
        <v>#REF!</v>
      </c>
      <c r="HJ47" t="e">
        <f>AND(#REF!,"AAAAAGp+u9k=")</f>
        <v>#REF!</v>
      </c>
      <c r="HK47" t="e">
        <f>AND(#REF!,"AAAAAGp+u9o=")</f>
        <v>#REF!</v>
      </c>
      <c r="HL47" t="e">
        <f>AND(#REF!,"AAAAAGp+u9s=")</f>
        <v>#REF!</v>
      </c>
      <c r="HM47" t="e">
        <f>AND(#REF!,"AAAAAGp+u9w=")</f>
        <v>#REF!</v>
      </c>
      <c r="HN47" t="e">
        <f>AND(#REF!,"AAAAAGp+u90=")</f>
        <v>#REF!</v>
      </c>
      <c r="HO47" t="e">
        <f>AND(#REF!,"AAAAAGp+u94=")</f>
        <v>#REF!</v>
      </c>
      <c r="HP47" t="e">
        <f>AND(#REF!,"AAAAAGp+u98=")</f>
        <v>#REF!</v>
      </c>
      <c r="HQ47" t="e">
        <f>AND(#REF!,"AAAAAGp+u+A=")</f>
        <v>#REF!</v>
      </c>
      <c r="HR47" t="e">
        <f>AND(#REF!,"AAAAAGp+u+E=")</f>
        <v>#REF!</v>
      </c>
      <c r="HS47" t="e">
        <f>AND(#REF!,"AAAAAGp+u+I=")</f>
        <v>#REF!</v>
      </c>
      <c r="HT47" t="e">
        <f>AND(#REF!,"AAAAAGp+u+M=")</f>
        <v>#REF!</v>
      </c>
      <c r="HU47" t="e">
        <f>AND(#REF!,"AAAAAGp+u+Q=")</f>
        <v>#REF!</v>
      </c>
      <c r="HV47" t="e">
        <f>AND(#REF!,"AAAAAGp+u+U=")</f>
        <v>#REF!</v>
      </c>
      <c r="HW47" t="e">
        <f>AND(#REF!,"AAAAAGp+u+Y=")</f>
        <v>#REF!</v>
      </c>
      <c r="HX47" t="e">
        <f>AND(#REF!,"AAAAAGp+u+c=")</f>
        <v>#REF!</v>
      </c>
      <c r="HY47" t="e">
        <f>AND(#REF!,"AAAAAGp+u+g=")</f>
        <v>#REF!</v>
      </c>
      <c r="HZ47" t="e">
        <f>AND(#REF!,"AAAAAGp+u+k=")</f>
        <v>#REF!</v>
      </c>
      <c r="IA47" t="e">
        <f>AND(#REF!,"AAAAAGp+u+o=")</f>
        <v>#REF!</v>
      </c>
      <c r="IB47" t="e">
        <f>AND(#REF!,"AAAAAGp+u+s=")</f>
        <v>#REF!</v>
      </c>
      <c r="IC47" t="e">
        <f>AND(#REF!,"AAAAAGp+u+w=")</f>
        <v>#REF!</v>
      </c>
      <c r="ID47" t="e">
        <f>AND(#REF!,"AAAAAGp+u+0=")</f>
        <v>#REF!</v>
      </c>
      <c r="IE47" t="e">
        <f>AND(#REF!,"AAAAAGp+u+4=")</f>
        <v>#REF!</v>
      </c>
      <c r="IF47" t="e">
        <f>AND(#REF!,"AAAAAGp+u+8=")</f>
        <v>#REF!</v>
      </c>
      <c r="IG47" t="e">
        <f>AND(#REF!,"AAAAAGp+u/A=")</f>
        <v>#REF!</v>
      </c>
      <c r="IH47" t="e">
        <f>AND(#REF!,"AAAAAGp+u/E=")</f>
        <v>#REF!</v>
      </c>
      <c r="II47" t="e">
        <f>AND(#REF!,"AAAAAGp+u/I=")</f>
        <v>#REF!</v>
      </c>
      <c r="IJ47" t="e">
        <f>AND(#REF!,"AAAAAGp+u/M=")</f>
        <v>#REF!</v>
      </c>
      <c r="IK47" t="e">
        <f>AND(#REF!,"AAAAAGp+u/Q=")</f>
        <v>#REF!</v>
      </c>
      <c r="IL47" t="e">
        <f>AND(#REF!,"AAAAAGp+u/U=")</f>
        <v>#REF!</v>
      </c>
      <c r="IM47" t="e">
        <f>AND(#REF!,"AAAAAGp+u/Y=")</f>
        <v>#REF!</v>
      </c>
      <c r="IN47" t="e">
        <f>AND(#REF!,"AAAAAGp+u/c=")</f>
        <v>#REF!</v>
      </c>
      <c r="IO47" t="e">
        <f>AND(#REF!,"AAAAAGp+u/g=")</f>
        <v>#REF!</v>
      </c>
      <c r="IP47" t="e">
        <f>AND(#REF!,"AAAAAGp+u/k=")</f>
        <v>#REF!</v>
      </c>
      <c r="IQ47" t="e">
        <f>AND(#REF!,"AAAAAGp+u/o=")</f>
        <v>#REF!</v>
      </c>
      <c r="IR47" t="e">
        <f>AND(#REF!,"AAAAAGp+u/s=")</f>
        <v>#REF!</v>
      </c>
      <c r="IS47" t="e">
        <f>AND(#REF!,"AAAAAGp+u/w=")</f>
        <v>#REF!</v>
      </c>
      <c r="IT47" t="e">
        <f>IF(#REF!,"AAAAAGp+u/0=",0)</f>
        <v>#REF!</v>
      </c>
      <c r="IU47" t="e">
        <f>AND(#REF!,"AAAAAGp+u/4=")</f>
        <v>#REF!</v>
      </c>
      <c r="IV47" t="e">
        <f>AND(#REF!,"AAAAAGp+u/8=")</f>
        <v>#REF!</v>
      </c>
    </row>
    <row r="48" spans="1:256" x14ac:dyDescent="0.2">
      <c r="A48" t="e">
        <f>AND(#REF!,"AAAAAFn/+wA=")</f>
        <v>#REF!</v>
      </c>
      <c r="B48" t="e">
        <f>AND(#REF!,"AAAAAFn/+wE=")</f>
        <v>#REF!</v>
      </c>
      <c r="C48" t="e">
        <f>AND(#REF!,"AAAAAFn/+wI=")</f>
        <v>#REF!</v>
      </c>
      <c r="D48" t="e">
        <f>AND(#REF!,"AAAAAFn/+wM=")</f>
        <v>#REF!</v>
      </c>
      <c r="E48" t="e">
        <f>AND(#REF!,"AAAAAFn/+wQ=")</f>
        <v>#REF!</v>
      </c>
      <c r="F48" t="e">
        <f>AND(#REF!,"AAAAAFn/+wU=")</f>
        <v>#REF!</v>
      </c>
      <c r="G48" t="e">
        <f>AND(#REF!,"AAAAAFn/+wY=")</f>
        <v>#REF!</v>
      </c>
      <c r="H48" t="e">
        <f>AND(#REF!,"AAAAAFn/+wc=")</f>
        <v>#REF!</v>
      </c>
      <c r="I48" t="e">
        <f>AND(#REF!,"AAAAAFn/+wg=")</f>
        <v>#REF!</v>
      </c>
      <c r="J48" t="e">
        <f>AND(#REF!,"AAAAAFn/+wk=")</f>
        <v>#REF!</v>
      </c>
      <c r="K48" t="e">
        <f>AND(#REF!,"AAAAAFn/+wo=")</f>
        <v>#REF!</v>
      </c>
      <c r="L48" t="e">
        <f>AND(#REF!,"AAAAAFn/+ws=")</f>
        <v>#REF!</v>
      </c>
      <c r="M48" t="e">
        <f>AND(#REF!,"AAAAAFn/+ww=")</f>
        <v>#REF!</v>
      </c>
      <c r="N48" t="e">
        <f>AND(#REF!,"AAAAAFn/+w0=")</f>
        <v>#REF!</v>
      </c>
      <c r="O48" t="e">
        <f>AND(#REF!,"AAAAAFn/+w4=")</f>
        <v>#REF!</v>
      </c>
      <c r="P48" t="e">
        <f>AND(#REF!,"AAAAAFn/+w8=")</f>
        <v>#REF!</v>
      </c>
      <c r="Q48" t="e">
        <f>AND(#REF!,"AAAAAFn/+xA=")</f>
        <v>#REF!</v>
      </c>
      <c r="R48" t="e">
        <f>AND(#REF!,"AAAAAFn/+xE=")</f>
        <v>#REF!</v>
      </c>
      <c r="S48" t="e">
        <f>AND(#REF!,"AAAAAFn/+xI=")</f>
        <v>#REF!</v>
      </c>
      <c r="T48" t="e">
        <f>AND(#REF!,"AAAAAFn/+xM=")</f>
        <v>#REF!</v>
      </c>
      <c r="U48" t="e">
        <f>AND(#REF!,"AAAAAFn/+xQ=")</f>
        <v>#REF!</v>
      </c>
      <c r="V48" t="e">
        <f>AND(#REF!,"AAAAAFn/+xU=")</f>
        <v>#REF!</v>
      </c>
      <c r="W48" t="e">
        <f>AND(#REF!,"AAAAAFn/+xY=")</f>
        <v>#REF!</v>
      </c>
      <c r="X48" t="e">
        <f>AND(#REF!,"AAAAAFn/+xc=")</f>
        <v>#REF!</v>
      </c>
      <c r="Y48" t="e">
        <f>AND(#REF!,"AAAAAFn/+xg=")</f>
        <v>#REF!</v>
      </c>
      <c r="Z48" t="e">
        <f>AND(#REF!,"AAAAAFn/+xk=")</f>
        <v>#REF!</v>
      </c>
      <c r="AA48" t="e">
        <f>AND(#REF!,"AAAAAFn/+xo=")</f>
        <v>#REF!</v>
      </c>
      <c r="AB48" t="e">
        <f>AND(#REF!,"AAAAAFn/+xs=")</f>
        <v>#REF!</v>
      </c>
      <c r="AC48" t="e">
        <f>AND(#REF!,"AAAAAFn/+xw=")</f>
        <v>#REF!</v>
      </c>
      <c r="AD48" t="e">
        <f>AND(#REF!,"AAAAAFn/+x0=")</f>
        <v>#REF!</v>
      </c>
      <c r="AE48" t="e">
        <f>AND(#REF!,"AAAAAFn/+x4=")</f>
        <v>#REF!</v>
      </c>
      <c r="AF48" t="e">
        <f>AND(#REF!,"AAAAAFn/+x8=")</f>
        <v>#REF!</v>
      </c>
      <c r="AG48" t="e">
        <f>AND(#REF!,"AAAAAFn/+yA=")</f>
        <v>#REF!</v>
      </c>
      <c r="AH48" t="e">
        <f>AND(#REF!,"AAAAAFn/+yE=")</f>
        <v>#REF!</v>
      </c>
      <c r="AI48" t="e">
        <f>AND(#REF!,"AAAAAFn/+yI=")</f>
        <v>#REF!</v>
      </c>
      <c r="AJ48" t="e">
        <f>AND(#REF!,"AAAAAFn/+yM=")</f>
        <v>#REF!</v>
      </c>
      <c r="AK48" t="e">
        <f>AND(#REF!,"AAAAAFn/+yQ=")</f>
        <v>#REF!</v>
      </c>
      <c r="AL48" t="e">
        <f>IF(#REF!,"AAAAAFn/+yU=",0)</f>
        <v>#REF!</v>
      </c>
      <c r="AM48" t="e">
        <f>AND(#REF!,"AAAAAFn/+yY=")</f>
        <v>#REF!</v>
      </c>
      <c r="AN48" t="e">
        <f>AND(#REF!,"AAAAAFn/+yc=")</f>
        <v>#REF!</v>
      </c>
      <c r="AO48" t="e">
        <f>AND(#REF!,"AAAAAFn/+yg=")</f>
        <v>#REF!</v>
      </c>
      <c r="AP48" t="e">
        <f>AND(#REF!,"AAAAAFn/+yk=")</f>
        <v>#REF!</v>
      </c>
      <c r="AQ48" t="e">
        <f>AND(#REF!,"AAAAAFn/+yo=")</f>
        <v>#REF!</v>
      </c>
      <c r="AR48" t="e">
        <f>AND(#REF!,"AAAAAFn/+ys=")</f>
        <v>#REF!</v>
      </c>
      <c r="AS48" t="e">
        <f>AND(#REF!,"AAAAAFn/+yw=")</f>
        <v>#REF!</v>
      </c>
      <c r="AT48" t="e">
        <f>AND(#REF!,"AAAAAFn/+y0=")</f>
        <v>#REF!</v>
      </c>
      <c r="AU48" t="e">
        <f>AND(#REF!,"AAAAAFn/+y4=")</f>
        <v>#REF!</v>
      </c>
      <c r="AV48" t="e">
        <f>AND(#REF!,"AAAAAFn/+y8=")</f>
        <v>#REF!</v>
      </c>
      <c r="AW48" t="e">
        <f>AND(#REF!,"AAAAAFn/+zA=")</f>
        <v>#REF!</v>
      </c>
      <c r="AX48" t="e">
        <f>AND(#REF!,"AAAAAFn/+zE=")</f>
        <v>#REF!</v>
      </c>
      <c r="AY48" t="e">
        <f>AND(#REF!,"AAAAAFn/+zI=")</f>
        <v>#REF!</v>
      </c>
      <c r="AZ48" t="e">
        <f>AND(#REF!,"AAAAAFn/+zM=")</f>
        <v>#REF!</v>
      </c>
      <c r="BA48" t="e">
        <f>AND(#REF!,"AAAAAFn/+zQ=")</f>
        <v>#REF!</v>
      </c>
      <c r="BB48" t="e">
        <f>AND(#REF!,"AAAAAFn/+zU=")</f>
        <v>#REF!</v>
      </c>
      <c r="BC48" t="e">
        <f>AND(#REF!,"AAAAAFn/+zY=")</f>
        <v>#REF!</v>
      </c>
      <c r="BD48" t="e">
        <f>AND(#REF!,"AAAAAFn/+zc=")</f>
        <v>#REF!</v>
      </c>
      <c r="BE48" t="e">
        <f>AND(#REF!,"AAAAAFn/+zg=")</f>
        <v>#REF!</v>
      </c>
      <c r="BF48" t="e">
        <f>AND(#REF!,"AAAAAFn/+zk=")</f>
        <v>#REF!</v>
      </c>
      <c r="BG48" t="e">
        <f>AND(#REF!,"AAAAAFn/+zo=")</f>
        <v>#REF!</v>
      </c>
      <c r="BH48" t="e">
        <f>AND(#REF!,"AAAAAFn/+zs=")</f>
        <v>#REF!</v>
      </c>
      <c r="BI48" t="e">
        <f>AND(#REF!,"AAAAAFn/+zw=")</f>
        <v>#REF!</v>
      </c>
      <c r="BJ48" t="e">
        <f>AND(#REF!,"AAAAAFn/+z0=")</f>
        <v>#REF!</v>
      </c>
      <c r="BK48" t="e">
        <f>AND(#REF!,"AAAAAFn/+z4=")</f>
        <v>#REF!</v>
      </c>
      <c r="BL48" t="e">
        <f>AND(#REF!,"AAAAAFn/+z8=")</f>
        <v>#REF!</v>
      </c>
      <c r="BM48" t="e">
        <f>AND(#REF!,"AAAAAFn/+0A=")</f>
        <v>#REF!</v>
      </c>
      <c r="BN48" t="e">
        <f>AND(#REF!,"AAAAAFn/+0E=")</f>
        <v>#REF!</v>
      </c>
      <c r="BO48" t="e">
        <f>AND(#REF!,"AAAAAFn/+0I=")</f>
        <v>#REF!</v>
      </c>
      <c r="BP48" t="e">
        <f>AND(#REF!,"AAAAAFn/+0M=")</f>
        <v>#REF!</v>
      </c>
      <c r="BQ48" t="e">
        <f>AND(#REF!,"AAAAAFn/+0Q=")</f>
        <v>#REF!</v>
      </c>
      <c r="BR48" t="e">
        <f>AND(#REF!,"AAAAAFn/+0U=")</f>
        <v>#REF!</v>
      </c>
      <c r="BS48" t="e">
        <f>AND(#REF!,"AAAAAFn/+0Y=")</f>
        <v>#REF!</v>
      </c>
      <c r="BT48" t="e">
        <f>AND(#REF!,"AAAAAFn/+0c=")</f>
        <v>#REF!</v>
      </c>
      <c r="BU48" t="e">
        <f>AND(#REF!,"AAAAAFn/+0g=")</f>
        <v>#REF!</v>
      </c>
      <c r="BV48" t="e">
        <f>AND(#REF!,"AAAAAFn/+0k=")</f>
        <v>#REF!</v>
      </c>
      <c r="BW48" t="e">
        <f>AND(#REF!,"AAAAAFn/+0o=")</f>
        <v>#REF!</v>
      </c>
      <c r="BX48" t="e">
        <f>AND(#REF!,"AAAAAFn/+0s=")</f>
        <v>#REF!</v>
      </c>
      <c r="BY48" t="e">
        <f>AND(#REF!,"AAAAAFn/+0w=")</f>
        <v>#REF!</v>
      </c>
      <c r="BZ48" t="e">
        <f>IF(#REF!,"AAAAAFn/+00=",0)</f>
        <v>#REF!</v>
      </c>
      <c r="CA48" t="e">
        <f>AND(#REF!,"AAAAAFn/+04=")</f>
        <v>#REF!</v>
      </c>
      <c r="CB48" t="e">
        <f>AND(#REF!,"AAAAAFn/+08=")</f>
        <v>#REF!</v>
      </c>
      <c r="CC48" t="e">
        <f>AND(#REF!,"AAAAAFn/+1A=")</f>
        <v>#REF!</v>
      </c>
      <c r="CD48" t="e">
        <f>AND(#REF!,"AAAAAFn/+1E=")</f>
        <v>#REF!</v>
      </c>
      <c r="CE48" t="e">
        <f>AND(#REF!,"AAAAAFn/+1I=")</f>
        <v>#REF!</v>
      </c>
      <c r="CF48" t="e">
        <f>AND(#REF!,"AAAAAFn/+1M=")</f>
        <v>#REF!</v>
      </c>
      <c r="CG48" t="e">
        <f>AND(#REF!,"AAAAAFn/+1Q=")</f>
        <v>#REF!</v>
      </c>
      <c r="CH48" t="e">
        <f>AND(#REF!,"AAAAAFn/+1U=")</f>
        <v>#REF!</v>
      </c>
      <c r="CI48" t="e">
        <f>AND(#REF!,"AAAAAFn/+1Y=")</f>
        <v>#REF!</v>
      </c>
      <c r="CJ48" t="e">
        <f>AND(#REF!,"AAAAAFn/+1c=")</f>
        <v>#REF!</v>
      </c>
      <c r="CK48" t="e">
        <f>AND(#REF!,"AAAAAFn/+1g=")</f>
        <v>#REF!</v>
      </c>
      <c r="CL48" t="e">
        <f>AND(#REF!,"AAAAAFn/+1k=")</f>
        <v>#REF!</v>
      </c>
      <c r="CM48" t="e">
        <f>AND(#REF!,"AAAAAFn/+1o=")</f>
        <v>#REF!</v>
      </c>
      <c r="CN48" t="e">
        <f>AND(#REF!,"AAAAAFn/+1s=")</f>
        <v>#REF!</v>
      </c>
      <c r="CO48" t="e">
        <f>AND(#REF!,"AAAAAFn/+1w=")</f>
        <v>#REF!</v>
      </c>
      <c r="CP48" t="e">
        <f>AND(#REF!,"AAAAAFn/+10=")</f>
        <v>#REF!</v>
      </c>
      <c r="CQ48" t="e">
        <f>AND(#REF!,"AAAAAFn/+14=")</f>
        <v>#REF!</v>
      </c>
      <c r="CR48" t="e">
        <f>AND(#REF!,"AAAAAFn/+18=")</f>
        <v>#REF!</v>
      </c>
      <c r="CS48" t="e">
        <f>AND(#REF!,"AAAAAFn/+2A=")</f>
        <v>#REF!</v>
      </c>
      <c r="CT48" t="e">
        <f>AND(#REF!,"AAAAAFn/+2E=")</f>
        <v>#REF!</v>
      </c>
      <c r="CU48" t="e">
        <f>AND(#REF!,"AAAAAFn/+2I=")</f>
        <v>#REF!</v>
      </c>
      <c r="CV48" t="e">
        <f>AND(#REF!,"AAAAAFn/+2M=")</f>
        <v>#REF!</v>
      </c>
      <c r="CW48" t="e">
        <f>AND(#REF!,"AAAAAFn/+2Q=")</f>
        <v>#REF!</v>
      </c>
      <c r="CX48" t="e">
        <f>AND(#REF!,"AAAAAFn/+2U=")</f>
        <v>#REF!</v>
      </c>
      <c r="CY48" t="e">
        <f>AND(#REF!,"AAAAAFn/+2Y=")</f>
        <v>#REF!</v>
      </c>
      <c r="CZ48" t="e">
        <f>AND(#REF!,"AAAAAFn/+2c=")</f>
        <v>#REF!</v>
      </c>
      <c r="DA48" t="e">
        <f>AND(#REF!,"AAAAAFn/+2g=")</f>
        <v>#REF!</v>
      </c>
      <c r="DB48" t="e">
        <f>AND(#REF!,"AAAAAFn/+2k=")</f>
        <v>#REF!</v>
      </c>
      <c r="DC48" t="e">
        <f>AND(#REF!,"AAAAAFn/+2o=")</f>
        <v>#REF!</v>
      </c>
      <c r="DD48" t="e">
        <f>AND(#REF!,"AAAAAFn/+2s=")</f>
        <v>#REF!</v>
      </c>
      <c r="DE48" t="e">
        <f>AND(#REF!,"AAAAAFn/+2w=")</f>
        <v>#REF!</v>
      </c>
      <c r="DF48" t="e">
        <f>AND(#REF!,"AAAAAFn/+20=")</f>
        <v>#REF!</v>
      </c>
      <c r="DG48" t="e">
        <f>AND(#REF!,"AAAAAFn/+24=")</f>
        <v>#REF!</v>
      </c>
      <c r="DH48" t="e">
        <f>AND(#REF!,"AAAAAFn/+28=")</f>
        <v>#REF!</v>
      </c>
      <c r="DI48" t="e">
        <f>AND(#REF!,"AAAAAFn/+3A=")</f>
        <v>#REF!</v>
      </c>
      <c r="DJ48" t="e">
        <f>AND(#REF!,"AAAAAFn/+3E=")</f>
        <v>#REF!</v>
      </c>
      <c r="DK48" t="e">
        <f>AND(#REF!,"AAAAAFn/+3I=")</f>
        <v>#REF!</v>
      </c>
      <c r="DL48" t="e">
        <f>AND(#REF!,"AAAAAFn/+3M=")</f>
        <v>#REF!</v>
      </c>
      <c r="DM48" t="e">
        <f>AND(#REF!,"AAAAAFn/+3Q=")</f>
        <v>#REF!</v>
      </c>
      <c r="DN48" t="e">
        <f>IF(#REF!,"AAAAAFn/+3U=",0)</f>
        <v>#REF!</v>
      </c>
      <c r="DO48" t="e">
        <f>AND(#REF!,"AAAAAFn/+3Y=")</f>
        <v>#REF!</v>
      </c>
      <c r="DP48" t="e">
        <f>AND(#REF!,"AAAAAFn/+3c=")</f>
        <v>#REF!</v>
      </c>
      <c r="DQ48" t="e">
        <f>AND(#REF!,"AAAAAFn/+3g=")</f>
        <v>#REF!</v>
      </c>
      <c r="DR48" t="e">
        <f>AND(#REF!,"AAAAAFn/+3k=")</f>
        <v>#REF!</v>
      </c>
      <c r="DS48" t="e">
        <f>AND(#REF!,"AAAAAFn/+3o=")</f>
        <v>#REF!</v>
      </c>
      <c r="DT48" t="e">
        <f>AND(#REF!,"AAAAAFn/+3s=")</f>
        <v>#REF!</v>
      </c>
      <c r="DU48" t="e">
        <f>AND(#REF!,"AAAAAFn/+3w=")</f>
        <v>#REF!</v>
      </c>
      <c r="DV48" t="e">
        <f>AND(#REF!,"AAAAAFn/+30=")</f>
        <v>#REF!</v>
      </c>
      <c r="DW48" t="e">
        <f>AND(#REF!,"AAAAAFn/+34=")</f>
        <v>#REF!</v>
      </c>
      <c r="DX48" t="e">
        <f>AND(#REF!,"AAAAAFn/+38=")</f>
        <v>#REF!</v>
      </c>
      <c r="DY48" t="e">
        <f>AND(#REF!,"AAAAAFn/+4A=")</f>
        <v>#REF!</v>
      </c>
      <c r="DZ48" t="e">
        <f>AND(#REF!,"AAAAAFn/+4E=")</f>
        <v>#REF!</v>
      </c>
      <c r="EA48" t="e">
        <f>AND(#REF!,"AAAAAFn/+4I=")</f>
        <v>#REF!</v>
      </c>
      <c r="EB48" t="e">
        <f>AND(#REF!,"AAAAAFn/+4M=")</f>
        <v>#REF!</v>
      </c>
      <c r="EC48" t="e">
        <f>AND(#REF!,"AAAAAFn/+4Q=")</f>
        <v>#REF!</v>
      </c>
      <c r="ED48" t="e">
        <f>AND(#REF!,"AAAAAFn/+4U=")</f>
        <v>#REF!</v>
      </c>
      <c r="EE48" t="e">
        <f>AND(#REF!,"AAAAAFn/+4Y=")</f>
        <v>#REF!</v>
      </c>
      <c r="EF48" t="e">
        <f>AND(#REF!,"AAAAAFn/+4c=")</f>
        <v>#REF!</v>
      </c>
      <c r="EG48" t="e">
        <f>AND(#REF!,"AAAAAFn/+4g=")</f>
        <v>#REF!</v>
      </c>
      <c r="EH48" t="e">
        <f>AND(#REF!,"AAAAAFn/+4k=")</f>
        <v>#REF!</v>
      </c>
      <c r="EI48" t="e">
        <f>AND(#REF!,"AAAAAFn/+4o=")</f>
        <v>#REF!</v>
      </c>
      <c r="EJ48" t="e">
        <f>AND(#REF!,"AAAAAFn/+4s=")</f>
        <v>#REF!</v>
      </c>
      <c r="EK48" t="e">
        <f>AND(#REF!,"AAAAAFn/+4w=")</f>
        <v>#REF!</v>
      </c>
      <c r="EL48" t="e">
        <f>AND(#REF!,"AAAAAFn/+40=")</f>
        <v>#REF!</v>
      </c>
      <c r="EM48" t="e">
        <f>AND(#REF!,"AAAAAFn/+44=")</f>
        <v>#REF!</v>
      </c>
      <c r="EN48" t="e">
        <f>AND(#REF!,"AAAAAFn/+48=")</f>
        <v>#REF!</v>
      </c>
      <c r="EO48" t="e">
        <f>AND(#REF!,"AAAAAFn/+5A=")</f>
        <v>#REF!</v>
      </c>
      <c r="EP48" t="e">
        <f>AND(#REF!,"AAAAAFn/+5E=")</f>
        <v>#REF!</v>
      </c>
      <c r="EQ48" t="e">
        <f>AND(#REF!,"AAAAAFn/+5I=")</f>
        <v>#REF!</v>
      </c>
      <c r="ER48" t="e">
        <f>AND(#REF!,"AAAAAFn/+5M=")</f>
        <v>#REF!</v>
      </c>
      <c r="ES48" t="e">
        <f>AND(#REF!,"AAAAAFn/+5Q=")</f>
        <v>#REF!</v>
      </c>
      <c r="ET48" t="e">
        <f>AND(#REF!,"AAAAAFn/+5U=")</f>
        <v>#REF!</v>
      </c>
      <c r="EU48" t="e">
        <f>AND(#REF!,"AAAAAFn/+5Y=")</f>
        <v>#REF!</v>
      </c>
      <c r="EV48" t="e">
        <f>AND(#REF!,"AAAAAFn/+5c=")</f>
        <v>#REF!</v>
      </c>
      <c r="EW48" t="e">
        <f>AND(#REF!,"AAAAAFn/+5g=")</f>
        <v>#REF!</v>
      </c>
      <c r="EX48" t="e">
        <f>AND(#REF!,"AAAAAFn/+5k=")</f>
        <v>#REF!</v>
      </c>
      <c r="EY48" t="e">
        <f>AND(#REF!,"AAAAAFn/+5o=")</f>
        <v>#REF!</v>
      </c>
      <c r="EZ48" t="e">
        <f>AND(#REF!,"AAAAAFn/+5s=")</f>
        <v>#REF!</v>
      </c>
      <c r="FA48" t="e">
        <f>AND(#REF!,"AAAAAFn/+5w=")</f>
        <v>#REF!</v>
      </c>
      <c r="FB48" t="e">
        <f>IF(#REF!,"AAAAAFn/+50=",0)</f>
        <v>#REF!</v>
      </c>
      <c r="FC48" t="e">
        <f>AND(#REF!,"AAAAAFn/+54=")</f>
        <v>#REF!</v>
      </c>
      <c r="FD48" t="e">
        <f>AND(#REF!,"AAAAAFn/+58=")</f>
        <v>#REF!</v>
      </c>
      <c r="FE48" t="e">
        <f>AND(#REF!,"AAAAAFn/+6A=")</f>
        <v>#REF!</v>
      </c>
      <c r="FF48" t="e">
        <f>AND(#REF!,"AAAAAFn/+6E=")</f>
        <v>#REF!</v>
      </c>
      <c r="FG48" t="e">
        <f>AND(#REF!,"AAAAAFn/+6I=")</f>
        <v>#REF!</v>
      </c>
      <c r="FH48" t="e">
        <f>AND(#REF!,"AAAAAFn/+6M=")</f>
        <v>#REF!</v>
      </c>
      <c r="FI48" t="e">
        <f>AND(#REF!,"AAAAAFn/+6Q=")</f>
        <v>#REF!</v>
      </c>
      <c r="FJ48" t="e">
        <f>AND(#REF!,"AAAAAFn/+6U=")</f>
        <v>#REF!</v>
      </c>
      <c r="FK48" t="e">
        <f>AND(#REF!,"AAAAAFn/+6Y=")</f>
        <v>#REF!</v>
      </c>
      <c r="FL48" t="e">
        <f>AND(#REF!,"AAAAAFn/+6c=")</f>
        <v>#REF!</v>
      </c>
      <c r="FM48" t="e">
        <f>AND(#REF!,"AAAAAFn/+6g=")</f>
        <v>#REF!</v>
      </c>
      <c r="FN48" t="e">
        <f>AND(#REF!,"AAAAAFn/+6k=")</f>
        <v>#REF!</v>
      </c>
      <c r="FO48" t="e">
        <f>AND(#REF!,"AAAAAFn/+6o=")</f>
        <v>#REF!</v>
      </c>
      <c r="FP48" t="e">
        <f>AND(#REF!,"AAAAAFn/+6s=")</f>
        <v>#REF!</v>
      </c>
      <c r="FQ48" t="e">
        <f>AND(#REF!,"AAAAAFn/+6w=")</f>
        <v>#REF!</v>
      </c>
      <c r="FR48" t="e">
        <f>AND(#REF!,"AAAAAFn/+60=")</f>
        <v>#REF!</v>
      </c>
      <c r="FS48" t="e">
        <f>AND(#REF!,"AAAAAFn/+64=")</f>
        <v>#REF!</v>
      </c>
      <c r="FT48" t="e">
        <f>AND(#REF!,"AAAAAFn/+68=")</f>
        <v>#REF!</v>
      </c>
      <c r="FU48" t="e">
        <f>AND(#REF!,"AAAAAFn/+7A=")</f>
        <v>#REF!</v>
      </c>
      <c r="FV48" t="e">
        <f>AND(#REF!,"AAAAAFn/+7E=")</f>
        <v>#REF!</v>
      </c>
      <c r="FW48" t="e">
        <f>AND(#REF!,"AAAAAFn/+7I=")</f>
        <v>#REF!</v>
      </c>
      <c r="FX48" t="e">
        <f>AND(#REF!,"AAAAAFn/+7M=")</f>
        <v>#REF!</v>
      </c>
      <c r="FY48" t="e">
        <f>AND(#REF!,"AAAAAFn/+7Q=")</f>
        <v>#REF!</v>
      </c>
      <c r="FZ48" t="e">
        <f>AND(#REF!,"AAAAAFn/+7U=")</f>
        <v>#REF!</v>
      </c>
      <c r="GA48" t="e">
        <f>AND(#REF!,"AAAAAFn/+7Y=")</f>
        <v>#REF!</v>
      </c>
      <c r="GB48" t="e">
        <f>AND(#REF!,"AAAAAFn/+7c=")</f>
        <v>#REF!</v>
      </c>
      <c r="GC48" t="e">
        <f>AND(#REF!,"AAAAAFn/+7g=")</f>
        <v>#REF!</v>
      </c>
      <c r="GD48" t="e">
        <f>AND(#REF!,"AAAAAFn/+7k=")</f>
        <v>#REF!</v>
      </c>
      <c r="GE48" t="e">
        <f>AND(#REF!,"AAAAAFn/+7o=")</f>
        <v>#REF!</v>
      </c>
      <c r="GF48" t="e">
        <f>IF(#REF!,"AAAAAFn/+7s=",0)</f>
        <v>#REF!</v>
      </c>
      <c r="GG48" t="e">
        <f>AND(#REF!,"AAAAAFn/+7w=")</f>
        <v>#REF!</v>
      </c>
      <c r="GH48" t="e">
        <f>AND(#REF!,"AAAAAFn/+70=")</f>
        <v>#REF!</v>
      </c>
      <c r="GI48" t="e">
        <f>AND(#REF!,"AAAAAFn/+74=")</f>
        <v>#REF!</v>
      </c>
      <c r="GJ48" t="e">
        <f>AND(#REF!,"AAAAAFn/+78=")</f>
        <v>#REF!</v>
      </c>
      <c r="GK48" t="e">
        <f>AND(#REF!,"AAAAAFn/+8A=")</f>
        <v>#REF!</v>
      </c>
      <c r="GL48" t="e">
        <f>AND(#REF!,"AAAAAFn/+8E=")</f>
        <v>#REF!</v>
      </c>
      <c r="GM48" t="e">
        <f>AND(#REF!,"AAAAAFn/+8I=")</f>
        <v>#REF!</v>
      </c>
      <c r="GN48" t="e">
        <f>AND(#REF!,"AAAAAFn/+8M=")</f>
        <v>#REF!</v>
      </c>
      <c r="GO48" t="e">
        <f>AND(#REF!,"AAAAAFn/+8Q=")</f>
        <v>#REF!</v>
      </c>
      <c r="GP48" t="e">
        <f>AND(#REF!,"AAAAAFn/+8U=")</f>
        <v>#REF!</v>
      </c>
      <c r="GQ48" t="e">
        <f>AND(#REF!,"AAAAAFn/+8Y=")</f>
        <v>#REF!</v>
      </c>
      <c r="GR48" t="e">
        <f>AND(#REF!,"AAAAAFn/+8c=")</f>
        <v>#REF!</v>
      </c>
      <c r="GS48" t="e">
        <f>AND(#REF!,"AAAAAFn/+8g=")</f>
        <v>#REF!</v>
      </c>
      <c r="GT48" t="e">
        <f>AND(#REF!,"AAAAAFn/+8k=")</f>
        <v>#REF!</v>
      </c>
      <c r="GU48" t="e">
        <f>AND(#REF!,"AAAAAFn/+8o=")</f>
        <v>#REF!</v>
      </c>
      <c r="GV48" t="e">
        <f>AND(#REF!,"AAAAAFn/+8s=")</f>
        <v>#REF!</v>
      </c>
      <c r="GW48" t="e">
        <f>AND(#REF!,"AAAAAFn/+8w=")</f>
        <v>#REF!</v>
      </c>
      <c r="GX48" t="e">
        <f>AND(#REF!,"AAAAAFn/+80=")</f>
        <v>#REF!</v>
      </c>
      <c r="GY48" t="e">
        <f>AND(#REF!,"AAAAAFn/+84=")</f>
        <v>#REF!</v>
      </c>
      <c r="GZ48" t="e">
        <f>AND(#REF!,"AAAAAFn/+88=")</f>
        <v>#REF!</v>
      </c>
      <c r="HA48" t="e">
        <f>AND(#REF!,"AAAAAFn/+9A=")</f>
        <v>#REF!</v>
      </c>
      <c r="HB48" t="e">
        <f>AND(#REF!,"AAAAAFn/+9E=")</f>
        <v>#REF!</v>
      </c>
      <c r="HC48" t="e">
        <f>AND(#REF!,"AAAAAFn/+9I=")</f>
        <v>#REF!</v>
      </c>
      <c r="HD48" t="e">
        <f>AND(#REF!,"AAAAAFn/+9M=")</f>
        <v>#REF!</v>
      </c>
      <c r="HE48" t="e">
        <f>AND(#REF!,"AAAAAFn/+9Q=")</f>
        <v>#REF!</v>
      </c>
      <c r="HF48" t="e">
        <f>AND(#REF!,"AAAAAFn/+9U=")</f>
        <v>#REF!</v>
      </c>
      <c r="HG48" t="e">
        <f>AND(#REF!,"AAAAAFn/+9Y=")</f>
        <v>#REF!</v>
      </c>
      <c r="HH48" t="e">
        <f>AND(#REF!,"AAAAAFn/+9c=")</f>
        <v>#REF!</v>
      </c>
      <c r="HI48" t="e">
        <f>AND(#REF!,"AAAAAFn/+9g=")</f>
        <v>#REF!</v>
      </c>
      <c r="HJ48" t="e">
        <f>IF(#REF!,"AAAAAFn/+9k=",0)</f>
        <v>#REF!</v>
      </c>
      <c r="HK48" t="e">
        <f>AND(#REF!,"AAAAAFn/+9o=")</f>
        <v>#REF!</v>
      </c>
      <c r="HL48" t="e">
        <f>AND(#REF!,"AAAAAFn/+9s=")</f>
        <v>#REF!</v>
      </c>
      <c r="HM48" t="e">
        <f>AND(#REF!,"AAAAAFn/+9w=")</f>
        <v>#REF!</v>
      </c>
      <c r="HN48" t="e">
        <f>AND(#REF!,"AAAAAFn/+90=")</f>
        <v>#REF!</v>
      </c>
      <c r="HO48" t="e">
        <f>AND(#REF!,"AAAAAFn/+94=")</f>
        <v>#REF!</v>
      </c>
      <c r="HP48" t="e">
        <f>AND(#REF!,"AAAAAFn/+98=")</f>
        <v>#REF!</v>
      </c>
      <c r="HQ48" t="e">
        <f>AND(#REF!,"AAAAAFn/++A=")</f>
        <v>#REF!</v>
      </c>
      <c r="HR48" t="e">
        <f>AND(#REF!,"AAAAAFn/++E=")</f>
        <v>#REF!</v>
      </c>
      <c r="HS48" t="e">
        <f>AND(#REF!,"AAAAAFn/++I=")</f>
        <v>#REF!</v>
      </c>
      <c r="HT48" t="e">
        <f>AND(#REF!,"AAAAAFn/++M=")</f>
        <v>#REF!</v>
      </c>
      <c r="HU48" t="e">
        <f>AND(#REF!,"AAAAAFn/++Q=")</f>
        <v>#REF!</v>
      </c>
      <c r="HV48" t="e">
        <f>AND(#REF!,"AAAAAFn/++U=")</f>
        <v>#REF!</v>
      </c>
      <c r="HW48" t="e">
        <f>AND(#REF!,"AAAAAFn/++Y=")</f>
        <v>#REF!</v>
      </c>
      <c r="HX48" t="e">
        <f>AND(#REF!,"AAAAAFn/++c=")</f>
        <v>#REF!</v>
      </c>
      <c r="HY48" t="e">
        <f>AND(#REF!,"AAAAAFn/++g=")</f>
        <v>#REF!</v>
      </c>
      <c r="HZ48" t="e">
        <f>AND(#REF!,"AAAAAFn/++k=")</f>
        <v>#REF!</v>
      </c>
      <c r="IA48" t="e">
        <f>AND(#REF!,"AAAAAFn/++o=")</f>
        <v>#REF!</v>
      </c>
      <c r="IB48" t="e">
        <f>AND(#REF!,"AAAAAFn/++s=")</f>
        <v>#REF!</v>
      </c>
      <c r="IC48" t="e">
        <f>AND(#REF!,"AAAAAFn/++w=")</f>
        <v>#REF!</v>
      </c>
      <c r="ID48" t="e">
        <f>AND(#REF!,"AAAAAFn/++0=")</f>
        <v>#REF!</v>
      </c>
      <c r="IE48" t="e">
        <f>AND(#REF!,"AAAAAFn/++4=")</f>
        <v>#REF!</v>
      </c>
      <c r="IF48" t="e">
        <f>AND(#REF!,"AAAAAFn/++8=")</f>
        <v>#REF!</v>
      </c>
      <c r="IG48" t="e">
        <f>AND(#REF!,"AAAAAFn/+/A=")</f>
        <v>#REF!</v>
      </c>
      <c r="IH48" t="e">
        <f>AND(#REF!,"AAAAAFn/+/E=")</f>
        <v>#REF!</v>
      </c>
      <c r="II48" t="e">
        <f>AND(#REF!,"AAAAAFn/+/I=")</f>
        <v>#REF!</v>
      </c>
      <c r="IJ48" t="e">
        <f>AND(#REF!,"AAAAAFn/+/M=")</f>
        <v>#REF!</v>
      </c>
      <c r="IK48" t="e">
        <f>AND(#REF!,"AAAAAFn/+/Q=")</f>
        <v>#REF!</v>
      </c>
      <c r="IL48" t="e">
        <f>AND(#REF!,"AAAAAFn/+/U=")</f>
        <v>#REF!</v>
      </c>
      <c r="IM48" t="e">
        <f>AND(#REF!,"AAAAAFn/+/Y=")</f>
        <v>#REF!</v>
      </c>
      <c r="IN48" t="e">
        <f>IF(#REF!,"AAAAAFn/+/c=",0)</f>
        <v>#REF!</v>
      </c>
      <c r="IO48" t="e">
        <f>AND(#REF!,"AAAAAFn/+/g=")</f>
        <v>#REF!</v>
      </c>
      <c r="IP48" t="e">
        <f>AND(#REF!,"AAAAAFn/+/k=")</f>
        <v>#REF!</v>
      </c>
      <c r="IQ48" t="e">
        <f>AND(#REF!,"AAAAAFn/+/o=")</f>
        <v>#REF!</v>
      </c>
      <c r="IR48" t="e">
        <f>AND(#REF!,"AAAAAFn/+/s=")</f>
        <v>#REF!</v>
      </c>
      <c r="IS48" t="e">
        <f>AND(#REF!,"AAAAAFn/+/w=")</f>
        <v>#REF!</v>
      </c>
      <c r="IT48" t="e">
        <f>AND(#REF!,"AAAAAFn/+/0=")</f>
        <v>#REF!</v>
      </c>
      <c r="IU48" t="e">
        <f>AND(#REF!,"AAAAAFn/+/4=")</f>
        <v>#REF!</v>
      </c>
      <c r="IV48" t="e">
        <f>AND(#REF!,"AAAAAFn/+/8=")</f>
        <v>#REF!</v>
      </c>
    </row>
    <row r="49" spans="1:256" x14ac:dyDescent="0.2">
      <c r="A49" t="e">
        <f>AND(#REF!,"AAAAAD7ObQA=")</f>
        <v>#REF!</v>
      </c>
      <c r="B49" t="e">
        <f>AND(#REF!,"AAAAAD7ObQE=")</f>
        <v>#REF!</v>
      </c>
      <c r="C49" t="e">
        <f>AND(#REF!,"AAAAAD7ObQI=")</f>
        <v>#REF!</v>
      </c>
      <c r="D49" t="e">
        <f>AND(#REF!,"AAAAAD7ObQM=")</f>
        <v>#REF!</v>
      </c>
      <c r="E49" t="e">
        <f>AND(#REF!,"AAAAAD7ObQQ=")</f>
        <v>#REF!</v>
      </c>
      <c r="F49" t="e">
        <f>AND(#REF!,"AAAAAD7ObQU=")</f>
        <v>#REF!</v>
      </c>
      <c r="G49" t="e">
        <f>AND(#REF!,"AAAAAD7ObQY=")</f>
        <v>#REF!</v>
      </c>
      <c r="H49" t="e">
        <f>AND(#REF!,"AAAAAD7ObQc=")</f>
        <v>#REF!</v>
      </c>
      <c r="I49" t="e">
        <f>AND(#REF!,"AAAAAD7ObQg=")</f>
        <v>#REF!</v>
      </c>
      <c r="J49" t="e">
        <f>AND(#REF!,"AAAAAD7ObQk=")</f>
        <v>#REF!</v>
      </c>
      <c r="K49" t="e">
        <f>AND(#REF!,"AAAAAD7ObQo=")</f>
        <v>#REF!</v>
      </c>
      <c r="L49" t="e">
        <f>AND(#REF!,"AAAAAD7ObQs=")</f>
        <v>#REF!</v>
      </c>
      <c r="M49" t="e">
        <f>AND(#REF!,"AAAAAD7ObQw=")</f>
        <v>#REF!</v>
      </c>
      <c r="N49" t="e">
        <f>AND(#REF!,"AAAAAD7ObQ0=")</f>
        <v>#REF!</v>
      </c>
      <c r="O49" t="e">
        <f>AND(#REF!,"AAAAAD7ObQ4=")</f>
        <v>#REF!</v>
      </c>
      <c r="P49" t="e">
        <f>AND(#REF!,"AAAAAD7ObQ8=")</f>
        <v>#REF!</v>
      </c>
      <c r="Q49" t="e">
        <f>AND(#REF!,"AAAAAD7ObRA=")</f>
        <v>#REF!</v>
      </c>
      <c r="R49" t="e">
        <f>AND(#REF!,"AAAAAD7ObRE=")</f>
        <v>#REF!</v>
      </c>
      <c r="S49" t="e">
        <f>AND(#REF!,"AAAAAD7ObRI=")</f>
        <v>#REF!</v>
      </c>
      <c r="T49" t="e">
        <f>AND(#REF!,"AAAAAD7ObRM=")</f>
        <v>#REF!</v>
      </c>
      <c r="U49" t="e">
        <f>AND(#REF!,"AAAAAD7ObRQ=")</f>
        <v>#REF!</v>
      </c>
      <c r="V49" t="e">
        <f>IF(#REF!,"AAAAAD7ObRU=",0)</f>
        <v>#REF!</v>
      </c>
      <c r="W49" t="e">
        <f>AND(#REF!,"AAAAAD7ObRY=")</f>
        <v>#REF!</v>
      </c>
      <c r="X49" t="e">
        <f>AND(#REF!,"AAAAAD7ObRc=")</f>
        <v>#REF!</v>
      </c>
      <c r="Y49" t="e">
        <f>AND(#REF!,"AAAAAD7ObRg=")</f>
        <v>#REF!</v>
      </c>
      <c r="Z49" t="e">
        <f>AND(#REF!,"AAAAAD7ObRk=")</f>
        <v>#REF!</v>
      </c>
      <c r="AA49" t="e">
        <f>AND(#REF!,"AAAAAD7ObRo=")</f>
        <v>#REF!</v>
      </c>
      <c r="AB49" t="e">
        <f>AND(#REF!,"AAAAAD7ObRs=")</f>
        <v>#REF!</v>
      </c>
      <c r="AC49" t="e">
        <f>AND(#REF!,"AAAAAD7ObRw=")</f>
        <v>#REF!</v>
      </c>
      <c r="AD49" t="e">
        <f>AND(#REF!,"AAAAAD7ObR0=")</f>
        <v>#REF!</v>
      </c>
      <c r="AE49" t="e">
        <f>AND(#REF!,"AAAAAD7ObR4=")</f>
        <v>#REF!</v>
      </c>
      <c r="AF49" t="e">
        <f>AND(#REF!,"AAAAAD7ObR8=")</f>
        <v>#REF!</v>
      </c>
      <c r="AG49" t="e">
        <f>AND(#REF!,"AAAAAD7ObSA=")</f>
        <v>#REF!</v>
      </c>
      <c r="AH49" t="e">
        <f>AND(#REF!,"AAAAAD7ObSE=")</f>
        <v>#REF!</v>
      </c>
      <c r="AI49" t="e">
        <f>AND(#REF!,"AAAAAD7ObSI=")</f>
        <v>#REF!</v>
      </c>
      <c r="AJ49" t="e">
        <f>AND(#REF!,"AAAAAD7ObSM=")</f>
        <v>#REF!</v>
      </c>
      <c r="AK49" t="e">
        <f>AND(#REF!,"AAAAAD7ObSQ=")</f>
        <v>#REF!</v>
      </c>
      <c r="AL49" t="e">
        <f>AND(#REF!,"AAAAAD7ObSU=")</f>
        <v>#REF!</v>
      </c>
      <c r="AM49" t="e">
        <f>AND(#REF!,"AAAAAD7ObSY=")</f>
        <v>#REF!</v>
      </c>
      <c r="AN49" t="e">
        <f>AND(#REF!,"AAAAAD7ObSc=")</f>
        <v>#REF!</v>
      </c>
      <c r="AO49" t="e">
        <f>AND(#REF!,"AAAAAD7ObSg=")</f>
        <v>#REF!</v>
      </c>
      <c r="AP49" t="e">
        <f>AND(#REF!,"AAAAAD7ObSk=")</f>
        <v>#REF!</v>
      </c>
      <c r="AQ49" t="e">
        <f>AND(#REF!,"AAAAAD7ObSo=")</f>
        <v>#REF!</v>
      </c>
      <c r="AR49" t="e">
        <f>AND(#REF!,"AAAAAD7ObSs=")</f>
        <v>#REF!</v>
      </c>
      <c r="AS49" t="e">
        <f>AND(#REF!,"AAAAAD7ObSw=")</f>
        <v>#REF!</v>
      </c>
      <c r="AT49" t="e">
        <f>AND(#REF!,"AAAAAD7ObS0=")</f>
        <v>#REF!</v>
      </c>
      <c r="AU49" t="e">
        <f>AND(#REF!,"AAAAAD7ObS4=")</f>
        <v>#REF!</v>
      </c>
      <c r="AV49" t="e">
        <f>AND(#REF!,"AAAAAD7ObS8=")</f>
        <v>#REF!</v>
      </c>
      <c r="AW49" t="e">
        <f>AND(#REF!,"AAAAAD7ObTA=")</f>
        <v>#REF!</v>
      </c>
      <c r="AX49" t="e">
        <f>AND(#REF!,"AAAAAD7ObTE=")</f>
        <v>#REF!</v>
      </c>
      <c r="AY49" t="e">
        <f>AND(#REF!,"AAAAAD7ObTI=")</f>
        <v>#REF!</v>
      </c>
      <c r="AZ49" t="e">
        <f>IF(#REF!,"AAAAAD7ObTM=",0)</f>
        <v>#REF!</v>
      </c>
      <c r="BA49" t="e">
        <f>AND(#REF!,"AAAAAD7ObTQ=")</f>
        <v>#REF!</v>
      </c>
      <c r="BB49" t="e">
        <f>AND(#REF!,"AAAAAD7ObTU=")</f>
        <v>#REF!</v>
      </c>
      <c r="BC49" t="e">
        <f>AND(#REF!,"AAAAAD7ObTY=")</f>
        <v>#REF!</v>
      </c>
      <c r="BD49" t="e">
        <f>AND(#REF!,"AAAAAD7ObTc=")</f>
        <v>#REF!</v>
      </c>
      <c r="BE49" t="e">
        <f>AND(#REF!,"AAAAAD7ObTg=")</f>
        <v>#REF!</v>
      </c>
      <c r="BF49" t="e">
        <f>AND(#REF!,"AAAAAD7ObTk=")</f>
        <v>#REF!</v>
      </c>
      <c r="BG49" t="e">
        <f>AND(#REF!,"AAAAAD7ObTo=")</f>
        <v>#REF!</v>
      </c>
      <c r="BH49" t="e">
        <f>AND(#REF!,"AAAAAD7ObTs=")</f>
        <v>#REF!</v>
      </c>
      <c r="BI49" t="e">
        <f>AND(#REF!,"AAAAAD7ObTw=")</f>
        <v>#REF!</v>
      </c>
      <c r="BJ49" t="e">
        <f>AND(#REF!,"AAAAAD7ObT0=")</f>
        <v>#REF!</v>
      </c>
      <c r="BK49" t="e">
        <f>AND(#REF!,"AAAAAD7ObT4=")</f>
        <v>#REF!</v>
      </c>
      <c r="BL49" t="e">
        <f>AND(#REF!,"AAAAAD7ObT8=")</f>
        <v>#REF!</v>
      </c>
      <c r="BM49" t="e">
        <f>AND(#REF!,"AAAAAD7ObUA=")</f>
        <v>#REF!</v>
      </c>
      <c r="BN49" t="e">
        <f>AND(#REF!,"AAAAAD7ObUE=")</f>
        <v>#REF!</v>
      </c>
      <c r="BO49" t="e">
        <f>AND(#REF!,"AAAAAD7ObUI=")</f>
        <v>#REF!</v>
      </c>
      <c r="BP49" t="e">
        <f>AND(#REF!,"AAAAAD7ObUM=")</f>
        <v>#REF!</v>
      </c>
      <c r="BQ49" t="e">
        <f>AND(#REF!,"AAAAAD7ObUQ=")</f>
        <v>#REF!</v>
      </c>
      <c r="BR49" t="e">
        <f>AND(#REF!,"AAAAAD7ObUU=")</f>
        <v>#REF!</v>
      </c>
      <c r="BS49" t="e">
        <f>AND(#REF!,"AAAAAD7ObUY=")</f>
        <v>#REF!</v>
      </c>
      <c r="BT49" t="e">
        <f>AND(#REF!,"AAAAAD7ObUc=")</f>
        <v>#REF!</v>
      </c>
      <c r="BU49" t="e">
        <f>AND(#REF!,"AAAAAD7ObUg=")</f>
        <v>#REF!</v>
      </c>
      <c r="BV49" t="e">
        <f>AND(#REF!,"AAAAAD7ObUk=")</f>
        <v>#REF!</v>
      </c>
      <c r="BW49" t="e">
        <f>AND(#REF!,"AAAAAD7ObUo=")</f>
        <v>#REF!</v>
      </c>
      <c r="BX49" t="e">
        <f>AND(#REF!,"AAAAAD7ObUs=")</f>
        <v>#REF!</v>
      </c>
      <c r="BY49" t="e">
        <f>AND(#REF!,"AAAAAD7ObUw=")</f>
        <v>#REF!</v>
      </c>
      <c r="BZ49" t="e">
        <f>AND(#REF!,"AAAAAD7ObU0=")</f>
        <v>#REF!</v>
      </c>
      <c r="CA49" t="e">
        <f>AND(#REF!,"AAAAAD7ObU4=")</f>
        <v>#REF!</v>
      </c>
      <c r="CB49" t="e">
        <f>AND(#REF!,"AAAAAD7ObU8=")</f>
        <v>#REF!</v>
      </c>
      <c r="CC49" t="e">
        <f>AND(#REF!,"AAAAAD7ObVA=")</f>
        <v>#REF!</v>
      </c>
      <c r="CD49" t="e">
        <f>IF(#REF!,"AAAAAD7ObVE=",0)</f>
        <v>#REF!</v>
      </c>
      <c r="CE49" t="e">
        <f>AND(#REF!,"AAAAAD7ObVI=")</f>
        <v>#REF!</v>
      </c>
      <c r="CF49" t="e">
        <f>AND(#REF!,"AAAAAD7ObVM=")</f>
        <v>#REF!</v>
      </c>
      <c r="CG49" t="e">
        <f>AND(#REF!,"AAAAAD7ObVQ=")</f>
        <v>#REF!</v>
      </c>
      <c r="CH49" t="e">
        <f>AND(#REF!,"AAAAAD7ObVU=")</f>
        <v>#REF!</v>
      </c>
      <c r="CI49" t="e">
        <f>AND(#REF!,"AAAAAD7ObVY=")</f>
        <v>#REF!</v>
      </c>
      <c r="CJ49" t="e">
        <f>AND(#REF!,"AAAAAD7ObVc=")</f>
        <v>#REF!</v>
      </c>
      <c r="CK49" t="e">
        <f>AND(#REF!,"AAAAAD7ObVg=")</f>
        <v>#REF!</v>
      </c>
      <c r="CL49" t="e">
        <f>AND(#REF!,"AAAAAD7ObVk=")</f>
        <v>#REF!</v>
      </c>
      <c r="CM49" t="e">
        <f>AND(#REF!,"AAAAAD7ObVo=")</f>
        <v>#REF!</v>
      </c>
      <c r="CN49" t="e">
        <f>AND(#REF!,"AAAAAD7ObVs=")</f>
        <v>#REF!</v>
      </c>
      <c r="CO49" t="e">
        <f>AND(#REF!,"AAAAAD7ObVw=")</f>
        <v>#REF!</v>
      </c>
      <c r="CP49" t="e">
        <f>AND(#REF!,"AAAAAD7ObV0=")</f>
        <v>#REF!</v>
      </c>
      <c r="CQ49" t="e">
        <f>AND(#REF!,"AAAAAD7ObV4=")</f>
        <v>#REF!</v>
      </c>
      <c r="CR49" t="e">
        <f>AND(#REF!,"AAAAAD7ObV8=")</f>
        <v>#REF!</v>
      </c>
      <c r="CS49" t="e">
        <f>AND(#REF!,"AAAAAD7ObWA=")</f>
        <v>#REF!</v>
      </c>
      <c r="CT49" t="e">
        <f>AND(#REF!,"AAAAAD7ObWE=")</f>
        <v>#REF!</v>
      </c>
      <c r="CU49" t="e">
        <f>AND(#REF!,"AAAAAD7ObWI=")</f>
        <v>#REF!</v>
      </c>
      <c r="CV49" t="e">
        <f>AND(#REF!,"AAAAAD7ObWM=")</f>
        <v>#REF!</v>
      </c>
      <c r="CW49" t="e">
        <f>AND(#REF!,"AAAAAD7ObWQ=")</f>
        <v>#REF!</v>
      </c>
      <c r="CX49" t="e">
        <f>AND(#REF!,"AAAAAD7ObWU=")</f>
        <v>#REF!</v>
      </c>
      <c r="CY49" t="e">
        <f>AND(#REF!,"AAAAAD7ObWY=")</f>
        <v>#REF!</v>
      </c>
      <c r="CZ49" t="e">
        <f>AND(#REF!,"AAAAAD7ObWc=")</f>
        <v>#REF!</v>
      </c>
      <c r="DA49" t="e">
        <f>AND(#REF!,"AAAAAD7ObWg=")</f>
        <v>#REF!</v>
      </c>
      <c r="DB49" t="e">
        <f>AND(#REF!,"AAAAAD7ObWk=")</f>
        <v>#REF!</v>
      </c>
      <c r="DC49" t="e">
        <f>AND(#REF!,"AAAAAD7ObWo=")</f>
        <v>#REF!</v>
      </c>
      <c r="DD49" t="e">
        <f>AND(#REF!,"AAAAAD7ObWs=")</f>
        <v>#REF!</v>
      </c>
      <c r="DE49" t="e">
        <f>AND(#REF!,"AAAAAD7ObWw=")</f>
        <v>#REF!</v>
      </c>
      <c r="DF49" t="e">
        <f>AND(#REF!,"AAAAAD7ObW0=")</f>
        <v>#REF!</v>
      </c>
      <c r="DG49" t="e">
        <f>AND(#REF!,"AAAAAD7ObW4=")</f>
        <v>#REF!</v>
      </c>
      <c r="DH49" t="e">
        <f>IF(#REF!,"AAAAAD7ObW8=",0)</f>
        <v>#REF!</v>
      </c>
      <c r="DI49" t="e">
        <f>AND(#REF!,"AAAAAD7ObXA=")</f>
        <v>#REF!</v>
      </c>
      <c r="DJ49" t="e">
        <f>AND(#REF!,"AAAAAD7ObXE=")</f>
        <v>#REF!</v>
      </c>
      <c r="DK49" t="e">
        <f>AND(#REF!,"AAAAAD7ObXI=")</f>
        <v>#REF!</v>
      </c>
      <c r="DL49" t="e">
        <f>AND(#REF!,"AAAAAD7ObXM=")</f>
        <v>#REF!</v>
      </c>
      <c r="DM49" t="e">
        <f>AND(#REF!,"AAAAAD7ObXQ=")</f>
        <v>#REF!</v>
      </c>
      <c r="DN49" t="e">
        <f>AND(#REF!,"AAAAAD7ObXU=")</f>
        <v>#REF!</v>
      </c>
      <c r="DO49" t="e">
        <f>AND(#REF!,"AAAAAD7ObXY=")</f>
        <v>#REF!</v>
      </c>
      <c r="DP49" t="e">
        <f>AND(#REF!,"AAAAAD7ObXc=")</f>
        <v>#REF!</v>
      </c>
      <c r="DQ49" t="e">
        <f>AND(#REF!,"AAAAAD7ObXg=")</f>
        <v>#REF!</v>
      </c>
      <c r="DR49" t="e">
        <f>AND(#REF!,"AAAAAD7ObXk=")</f>
        <v>#REF!</v>
      </c>
      <c r="DS49" t="e">
        <f>AND(#REF!,"AAAAAD7ObXo=")</f>
        <v>#REF!</v>
      </c>
      <c r="DT49" t="e">
        <f>AND(#REF!,"AAAAAD7ObXs=")</f>
        <v>#REF!</v>
      </c>
      <c r="DU49" t="e">
        <f>AND(#REF!,"AAAAAD7ObXw=")</f>
        <v>#REF!</v>
      </c>
      <c r="DV49" t="e">
        <f>AND(#REF!,"AAAAAD7ObX0=")</f>
        <v>#REF!</v>
      </c>
      <c r="DW49" t="e">
        <f>AND(#REF!,"AAAAAD7ObX4=")</f>
        <v>#REF!</v>
      </c>
      <c r="DX49" t="e">
        <f>AND(#REF!,"AAAAAD7ObX8=")</f>
        <v>#REF!</v>
      </c>
      <c r="DY49" t="e">
        <f>AND(#REF!,"AAAAAD7ObYA=")</f>
        <v>#REF!</v>
      </c>
      <c r="DZ49" t="e">
        <f>AND(#REF!,"AAAAAD7ObYE=")</f>
        <v>#REF!</v>
      </c>
      <c r="EA49" t="e">
        <f>AND(#REF!,"AAAAAD7ObYI=")</f>
        <v>#REF!</v>
      </c>
      <c r="EB49" t="e">
        <f>AND(#REF!,"AAAAAD7ObYM=")</f>
        <v>#REF!</v>
      </c>
      <c r="EC49" t="e">
        <f>AND(#REF!,"AAAAAD7ObYQ=")</f>
        <v>#REF!</v>
      </c>
      <c r="ED49" t="e">
        <f>AND(#REF!,"AAAAAD7ObYU=")</f>
        <v>#REF!</v>
      </c>
      <c r="EE49" t="e">
        <f>AND(#REF!,"AAAAAD7ObYY=")</f>
        <v>#REF!</v>
      </c>
      <c r="EF49" t="e">
        <f>AND(#REF!,"AAAAAD7ObYc=")</f>
        <v>#REF!</v>
      </c>
      <c r="EG49" t="e">
        <f>AND(#REF!,"AAAAAD7ObYg=")</f>
        <v>#REF!</v>
      </c>
      <c r="EH49" t="e">
        <f>AND(#REF!,"AAAAAD7ObYk=")</f>
        <v>#REF!</v>
      </c>
      <c r="EI49" t="e">
        <f>AND(#REF!,"AAAAAD7ObYo=")</f>
        <v>#REF!</v>
      </c>
      <c r="EJ49" t="e">
        <f>AND(#REF!,"AAAAAD7ObYs=")</f>
        <v>#REF!</v>
      </c>
      <c r="EK49" t="e">
        <f>AND(#REF!,"AAAAAD7ObYw=")</f>
        <v>#REF!</v>
      </c>
      <c r="EL49" t="e">
        <f>IF(#REF!,"AAAAAD7ObY0=",0)</f>
        <v>#REF!</v>
      </c>
      <c r="EM49" t="e">
        <f>AND(#REF!,"AAAAAD7ObY4=")</f>
        <v>#REF!</v>
      </c>
      <c r="EN49" t="e">
        <f>AND(#REF!,"AAAAAD7ObY8=")</f>
        <v>#REF!</v>
      </c>
      <c r="EO49" t="e">
        <f>AND(#REF!,"AAAAAD7ObZA=")</f>
        <v>#REF!</v>
      </c>
      <c r="EP49" t="e">
        <f>AND(#REF!,"AAAAAD7ObZE=")</f>
        <v>#REF!</v>
      </c>
      <c r="EQ49" t="e">
        <f>AND(#REF!,"AAAAAD7ObZI=")</f>
        <v>#REF!</v>
      </c>
      <c r="ER49" t="e">
        <f>AND(#REF!,"AAAAAD7ObZM=")</f>
        <v>#REF!</v>
      </c>
      <c r="ES49" t="e">
        <f>AND(#REF!,"AAAAAD7ObZQ=")</f>
        <v>#REF!</v>
      </c>
      <c r="ET49" t="e">
        <f>AND(#REF!,"AAAAAD7ObZU=")</f>
        <v>#REF!</v>
      </c>
      <c r="EU49" t="e">
        <f>AND(#REF!,"AAAAAD7ObZY=")</f>
        <v>#REF!</v>
      </c>
      <c r="EV49" t="e">
        <f>AND(#REF!,"AAAAAD7ObZc=")</f>
        <v>#REF!</v>
      </c>
      <c r="EW49" t="e">
        <f>AND(#REF!,"AAAAAD7ObZg=")</f>
        <v>#REF!</v>
      </c>
      <c r="EX49" t="e">
        <f>AND(#REF!,"AAAAAD7ObZk=")</f>
        <v>#REF!</v>
      </c>
      <c r="EY49" t="e">
        <f>AND(#REF!,"AAAAAD7ObZo=")</f>
        <v>#REF!</v>
      </c>
      <c r="EZ49" t="e">
        <f>AND(#REF!,"AAAAAD7ObZs=")</f>
        <v>#REF!</v>
      </c>
      <c r="FA49" t="e">
        <f>AND(#REF!,"AAAAAD7ObZw=")</f>
        <v>#REF!</v>
      </c>
      <c r="FB49" t="e">
        <f>AND(#REF!,"AAAAAD7ObZ0=")</f>
        <v>#REF!</v>
      </c>
      <c r="FC49" t="e">
        <f>AND(#REF!,"AAAAAD7ObZ4=")</f>
        <v>#REF!</v>
      </c>
      <c r="FD49" t="e">
        <f>AND(#REF!,"AAAAAD7ObZ8=")</f>
        <v>#REF!</v>
      </c>
      <c r="FE49" t="e">
        <f>AND(#REF!,"AAAAAD7ObaA=")</f>
        <v>#REF!</v>
      </c>
      <c r="FF49" t="e">
        <f>AND(#REF!,"AAAAAD7ObaE=")</f>
        <v>#REF!</v>
      </c>
      <c r="FG49" t="e">
        <f>AND(#REF!,"AAAAAD7ObaI=")</f>
        <v>#REF!</v>
      </c>
      <c r="FH49" t="e">
        <f>AND(#REF!,"AAAAAD7ObaM=")</f>
        <v>#REF!</v>
      </c>
      <c r="FI49" t="e">
        <f>AND(#REF!,"AAAAAD7ObaQ=")</f>
        <v>#REF!</v>
      </c>
      <c r="FJ49" t="e">
        <f>AND(#REF!,"AAAAAD7ObaU=")</f>
        <v>#REF!</v>
      </c>
      <c r="FK49" t="e">
        <f>AND(#REF!,"AAAAAD7ObaY=")</f>
        <v>#REF!</v>
      </c>
      <c r="FL49" t="e">
        <f>AND(#REF!,"AAAAAD7Obac=")</f>
        <v>#REF!</v>
      </c>
      <c r="FM49" t="e">
        <f>AND(#REF!,"AAAAAD7Obag=")</f>
        <v>#REF!</v>
      </c>
      <c r="FN49" t="e">
        <f>AND(#REF!,"AAAAAD7Obak=")</f>
        <v>#REF!</v>
      </c>
      <c r="FO49" t="e">
        <f>AND(#REF!,"AAAAAD7Obao=")</f>
        <v>#REF!</v>
      </c>
      <c r="FP49" t="e">
        <f>IF(#REF!,"AAAAAD7Obas=",0)</f>
        <v>#REF!</v>
      </c>
      <c r="FQ49" t="e">
        <f>AND(#REF!,"AAAAAD7Obaw=")</f>
        <v>#REF!</v>
      </c>
      <c r="FR49" t="e">
        <f>AND(#REF!,"AAAAAD7Oba0=")</f>
        <v>#REF!</v>
      </c>
      <c r="FS49" t="e">
        <f>AND(#REF!,"AAAAAD7Oba4=")</f>
        <v>#REF!</v>
      </c>
      <c r="FT49" t="e">
        <f>AND(#REF!,"AAAAAD7Oba8=")</f>
        <v>#REF!</v>
      </c>
      <c r="FU49" t="e">
        <f>AND(#REF!,"AAAAAD7ObbA=")</f>
        <v>#REF!</v>
      </c>
      <c r="FV49" t="e">
        <f>AND(#REF!,"AAAAAD7ObbE=")</f>
        <v>#REF!</v>
      </c>
      <c r="FW49" t="e">
        <f>AND(#REF!,"AAAAAD7ObbI=")</f>
        <v>#REF!</v>
      </c>
      <c r="FX49" t="e">
        <f>AND(#REF!,"AAAAAD7ObbM=")</f>
        <v>#REF!</v>
      </c>
      <c r="FY49" t="e">
        <f>AND(#REF!,"AAAAAD7ObbQ=")</f>
        <v>#REF!</v>
      </c>
      <c r="FZ49" t="e">
        <f>AND(#REF!,"AAAAAD7ObbU=")</f>
        <v>#REF!</v>
      </c>
      <c r="GA49" t="e">
        <f>AND(#REF!,"AAAAAD7ObbY=")</f>
        <v>#REF!</v>
      </c>
      <c r="GB49" t="e">
        <f>AND(#REF!,"AAAAAD7Obbc=")</f>
        <v>#REF!</v>
      </c>
      <c r="GC49" t="e">
        <f>AND(#REF!,"AAAAAD7Obbg=")</f>
        <v>#REF!</v>
      </c>
      <c r="GD49" t="e">
        <f>AND(#REF!,"AAAAAD7Obbk=")</f>
        <v>#REF!</v>
      </c>
      <c r="GE49" t="e">
        <f>AND(#REF!,"AAAAAD7Obbo=")</f>
        <v>#REF!</v>
      </c>
      <c r="GF49" t="e">
        <f>AND(#REF!,"AAAAAD7Obbs=")</f>
        <v>#REF!</v>
      </c>
      <c r="GG49" t="e">
        <f>AND(#REF!,"AAAAAD7Obbw=")</f>
        <v>#REF!</v>
      </c>
      <c r="GH49" t="e">
        <f>AND(#REF!,"AAAAAD7Obb0=")</f>
        <v>#REF!</v>
      </c>
      <c r="GI49" t="e">
        <f>AND(#REF!,"AAAAAD7Obb4=")</f>
        <v>#REF!</v>
      </c>
      <c r="GJ49" t="e">
        <f>AND(#REF!,"AAAAAD7Obb8=")</f>
        <v>#REF!</v>
      </c>
      <c r="GK49" t="e">
        <f>AND(#REF!,"AAAAAD7ObcA=")</f>
        <v>#REF!</v>
      </c>
      <c r="GL49" t="e">
        <f>AND(#REF!,"AAAAAD7ObcE=")</f>
        <v>#REF!</v>
      </c>
      <c r="GM49" t="e">
        <f>AND(#REF!,"AAAAAD7ObcI=")</f>
        <v>#REF!</v>
      </c>
      <c r="GN49" t="e">
        <f>AND(#REF!,"AAAAAD7ObcM=")</f>
        <v>#REF!</v>
      </c>
      <c r="GO49" t="e">
        <f>AND(#REF!,"AAAAAD7ObcQ=")</f>
        <v>#REF!</v>
      </c>
      <c r="GP49" t="e">
        <f>AND(#REF!,"AAAAAD7ObcU=")</f>
        <v>#REF!</v>
      </c>
      <c r="GQ49" t="e">
        <f>AND(#REF!,"AAAAAD7ObcY=")</f>
        <v>#REF!</v>
      </c>
      <c r="GR49" t="e">
        <f>AND(#REF!,"AAAAAD7Obcc=")</f>
        <v>#REF!</v>
      </c>
      <c r="GS49" t="e">
        <f>AND(#REF!,"AAAAAD7Obcg=")</f>
        <v>#REF!</v>
      </c>
      <c r="GT49" t="e">
        <f>IF(#REF!,"AAAAAD7Obck=",0)</f>
        <v>#REF!</v>
      </c>
      <c r="GU49" t="e">
        <f>AND(#REF!,"AAAAAD7Obco=")</f>
        <v>#REF!</v>
      </c>
      <c r="GV49" t="e">
        <f>AND(#REF!,"AAAAAD7Obcs=")</f>
        <v>#REF!</v>
      </c>
      <c r="GW49" t="e">
        <f>AND(#REF!,"AAAAAD7Obcw=")</f>
        <v>#REF!</v>
      </c>
      <c r="GX49" t="e">
        <f>AND(#REF!,"AAAAAD7Obc0=")</f>
        <v>#REF!</v>
      </c>
      <c r="GY49" t="e">
        <f>AND(#REF!,"AAAAAD7Obc4=")</f>
        <v>#REF!</v>
      </c>
      <c r="GZ49" t="e">
        <f>AND(#REF!,"AAAAAD7Obc8=")</f>
        <v>#REF!</v>
      </c>
      <c r="HA49" t="e">
        <f>AND(#REF!,"AAAAAD7ObdA=")</f>
        <v>#REF!</v>
      </c>
      <c r="HB49" t="e">
        <f>AND(#REF!,"AAAAAD7ObdE=")</f>
        <v>#REF!</v>
      </c>
      <c r="HC49" t="e">
        <f>AND(#REF!,"AAAAAD7ObdI=")</f>
        <v>#REF!</v>
      </c>
      <c r="HD49" t="e">
        <f>AND(#REF!,"AAAAAD7ObdM=")</f>
        <v>#REF!</v>
      </c>
      <c r="HE49" t="e">
        <f>AND(#REF!,"AAAAAD7ObdQ=")</f>
        <v>#REF!</v>
      </c>
      <c r="HF49" t="e">
        <f>AND(#REF!,"AAAAAD7ObdU=")</f>
        <v>#REF!</v>
      </c>
      <c r="HG49" t="e">
        <f>AND(#REF!,"AAAAAD7ObdY=")</f>
        <v>#REF!</v>
      </c>
      <c r="HH49" t="e">
        <f>AND(#REF!,"AAAAAD7Obdc=")</f>
        <v>#REF!</v>
      </c>
      <c r="HI49" t="e">
        <f>AND(#REF!,"AAAAAD7Obdg=")</f>
        <v>#REF!</v>
      </c>
      <c r="HJ49" t="e">
        <f>AND(#REF!,"AAAAAD7Obdk=")</f>
        <v>#REF!</v>
      </c>
      <c r="HK49" t="e">
        <f>AND(#REF!,"AAAAAD7Obdo=")</f>
        <v>#REF!</v>
      </c>
      <c r="HL49" t="e">
        <f>AND(#REF!,"AAAAAD7Obds=")</f>
        <v>#REF!</v>
      </c>
      <c r="HM49" t="e">
        <f>AND(#REF!,"AAAAAD7Obdw=")</f>
        <v>#REF!</v>
      </c>
      <c r="HN49" t="e">
        <f>AND(#REF!,"AAAAAD7Obd0=")</f>
        <v>#REF!</v>
      </c>
      <c r="HO49" t="e">
        <f>AND(#REF!,"AAAAAD7Obd4=")</f>
        <v>#REF!</v>
      </c>
      <c r="HP49" t="e">
        <f>AND(#REF!,"AAAAAD7Obd8=")</f>
        <v>#REF!</v>
      </c>
      <c r="HQ49" t="e">
        <f>AND(#REF!,"AAAAAD7ObeA=")</f>
        <v>#REF!</v>
      </c>
      <c r="HR49" t="e">
        <f>AND(#REF!,"AAAAAD7ObeE=")</f>
        <v>#REF!</v>
      </c>
      <c r="HS49" t="e">
        <f>AND(#REF!,"AAAAAD7ObeI=")</f>
        <v>#REF!</v>
      </c>
      <c r="HT49" t="e">
        <f>AND(#REF!,"AAAAAD7ObeM=")</f>
        <v>#REF!</v>
      </c>
      <c r="HU49" t="e">
        <f>AND(#REF!,"AAAAAD7ObeQ=")</f>
        <v>#REF!</v>
      </c>
      <c r="HV49" t="e">
        <f>AND(#REF!,"AAAAAD7ObeU=")</f>
        <v>#REF!</v>
      </c>
      <c r="HW49" t="e">
        <f>AND(#REF!,"AAAAAD7ObeY=")</f>
        <v>#REF!</v>
      </c>
      <c r="HX49" t="e">
        <f>IF(#REF!,"AAAAAD7Obec=",0)</f>
        <v>#REF!</v>
      </c>
      <c r="HY49" t="e">
        <f>AND(#REF!,"AAAAAD7Obeg=")</f>
        <v>#REF!</v>
      </c>
      <c r="HZ49" t="e">
        <f>AND(#REF!,"AAAAAD7Obek=")</f>
        <v>#REF!</v>
      </c>
      <c r="IA49" t="e">
        <f>AND(#REF!,"AAAAAD7Obeo=")</f>
        <v>#REF!</v>
      </c>
      <c r="IB49" t="e">
        <f>AND(#REF!,"AAAAAD7Obes=")</f>
        <v>#REF!</v>
      </c>
      <c r="IC49" t="e">
        <f>AND(#REF!,"AAAAAD7Obew=")</f>
        <v>#REF!</v>
      </c>
      <c r="ID49" t="e">
        <f>AND(#REF!,"AAAAAD7Obe0=")</f>
        <v>#REF!</v>
      </c>
      <c r="IE49" t="e">
        <f>AND(#REF!,"AAAAAD7Obe4=")</f>
        <v>#REF!</v>
      </c>
      <c r="IF49" t="e">
        <f>AND(#REF!,"AAAAAD7Obe8=")</f>
        <v>#REF!</v>
      </c>
      <c r="IG49" t="e">
        <f>AND(#REF!,"AAAAAD7ObfA=")</f>
        <v>#REF!</v>
      </c>
      <c r="IH49" t="e">
        <f>AND(#REF!,"AAAAAD7ObfE=")</f>
        <v>#REF!</v>
      </c>
      <c r="II49" t="e">
        <f>AND(#REF!,"AAAAAD7ObfI=")</f>
        <v>#REF!</v>
      </c>
      <c r="IJ49" t="e">
        <f>AND(#REF!,"AAAAAD7ObfM=")</f>
        <v>#REF!</v>
      </c>
      <c r="IK49" t="e">
        <f>AND(#REF!,"AAAAAD7ObfQ=")</f>
        <v>#REF!</v>
      </c>
      <c r="IL49" t="e">
        <f>AND(#REF!,"AAAAAD7ObfU=")</f>
        <v>#REF!</v>
      </c>
      <c r="IM49" t="e">
        <f>AND(#REF!,"AAAAAD7ObfY=")</f>
        <v>#REF!</v>
      </c>
      <c r="IN49" t="e">
        <f>AND(#REF!,"AAAAAD7Obfc=")</f>
        <v>#REF!</v>
      </c>
      <c r="IO49" t="e">
        <f>AND(#REF!,"AAAAAD7Obfg=")</f>
        <v>#REF!</v>
      </c>
      <c r="IP49" t="e">
        <f>AND(#REF!,"AAAAAD7Obfk=")</f>
        <v>#REF!</v>
      </c>
      <c r="IQ49" t="e">
        <f>AND(#REF!,"AAAAAD7Obfo=")</f>
        <v>#REF!</v>
      </c>
      <c r="IR49" t="e">
        <f>AND(#REF!,"AAAAAD7Obfs=")</f>
        <v>#REF!</v>
      </c>
      <c r="IS49" t="e">
        <f>AND(#REF!,"AAAAAD7Obfw=")</f>
        <v>#REF!</v>
      </c>
      <c r="IT49" t="e">
        <f>AND(#REF!,"AAAAAD7Obf0=")</f>
        <v>#REF!</v>
      </c>
      <c r="IU49" t="e">
        <f>AND(#REF!,"AAAAAD7Obf4=")</f>
        <v>#REF!</v>
      </c>
      <c r="IV49" t="e">
        <f>AND(#REF!,"AAAAAD7Obf8=")</f>
        <v>#REF!</v>
      </c>
    </row>
    <row r="50" spans="1:256" x14ac:dyDescent="0.2">
      <c r="A50" t="e">
        <f>AND(#REF!,"AAAAAHOfPQA=")</f>
        <v>#REF!</v>
      </c>
      <c r="B50" t="e">
        <f>AND(#REF!,"AAAAAHOfPQE=")</f>
        <v>#REF!</v>
      </c>
      <c r="C50" t="e">
        <f>AND(#REF!,"AAAAAHOfPQI=")</f>
        <v>#REF!</v>
      </c>
      <c r="D50" t="e">
        <f>AND(#REF!,"AAAAAHOfPQM=")</f>
        <v>#REF!</v>
      </c>
      <c r="E50" t="e">
        <f>AND(#REF!,"AAAAAHOfPQQ=")</f>
        <v>#REF!</v>
      </c>
      <c r="F50" t="e">
        <f>IF(#REF!,"AAAAAHOfPQU=",0)</f>
        <v>#REF!</v>
      </c>
      <c r="G50" t="e">
        <f>AND(#REF!,"AAAAAHOfPQY=")</f>
        <v>#REF!</v>
      </c>
      <c r="H50" t="e">
        <f>AND(#REF!,"AAAAAHOfPQc=")</f>
        <v>#REF!</v>
      </c>
      <c r="I50" t="e">
        <f>AND(#REF!,"AAAAAHOfPQg=")</f>
        <v>#REF!</v>
      </c>
      <c r="J50" t="e">
        <f>AND(#REF!,"AAAAAHOfPQk=")</f>
        <v>#REF!</v>
      </c>
      <c r="K50" t="e">
        <f>AND(#REF!,"AAAAAHOfPQo=")</f>
        <v>#REF!</v>
      </c>
      <c r="L50" t="e">
        <f>AND(#REF!,"AAAAAHOfPQs=")</f>
        <v>#REF!</v>
      </c>
      <c r="M50" t="e">
        <f>AND(#REF!,"AAAAAHOfPQw=")</f>
        <v>#REF!</v>
      </c>
      <c r="N50" t="e">
        <f>AND(#REF!,"AAAAAHOfPQ0=")</f>
        <v>#REF!</v>
      </c>
      <c r="O50" t="e">
        <f>AND(#REF!,"AAAAAHOfPQ4=")</f>
        <v>#REF!</v>
      </c>
      <c r="P50" t="e">
        <f>AND(#REF!,"AAAAAHOfPQ8=")</f>
        <v>#REF!</v>
      </c>
      <c r="Q50" t="e">
        <f>AND(#REF!,"AAAAAHOfPRA=")</f>
        <v>#REF!</v>
      </c>
      <c r="R50" t="e">
        <f>AND(#REF!,"AAAAAHOfPRE=")</f>
        <v>#REF!</v>
      </c>
      <c r="S50" t="e">
        <f>AND(#REF!,"AAAAAHOfPRI=")</f>
        <v>#REF!</v>
      </c>
      <c r="T50" t="e">
        <f>AND(#REF!,"AAAAAHOfPRM=")</f>
        <v>#REF!</v>
      </c>
      <c r="U50" t="e">
        <f>AND(#REF!,"AAAAAHOfPRQ=")</f>
        <v>#REF!</v>
      </c>
      <c r="V50" t="e">
        <f>AND(#REF!,"AAAAAHOfPRU=")</f>
        <v>#REF!</v>
      </c>
      <c r="W50" t="e">
        <f>AND(#REF!,"AAAAAHOfPRY=")</f>
        <v>#REF!</v>
      </c>
      <c r="X50" t="e">
        <f>AND(#REF!,"AAAAAHOfPRc=")</f>
        <v>#REF!</v>
      </c>
      <c r="Y50" t="e">
        <f>AND(#REF!,"AAAAAHOfPRg=")</f>
        <v>#REF!</v>
      </c>
      <c r="Z50" t="e">
        <f>AND(#REF!,"AAAAAHOfPRk=")</f>
        <v>#REF!</v>
      </c>
      <c r="AA50" t="e">
        <f>AND(#REF!,"AAAAAHOfPRo=")</f>
        <v>#REF!</v>
      </c>
      <c r="AB50" t="e">
        <f>AND(#REF!,"AAAAAHOfPRs=")</f>
        <v>#REF!</v>
      </c>
      <c r="AC50" t="e">
        <f>AND(#REF!,"AAAAAHOfPRw=")</f>
        <v>#REF!</v>
      </c>
      <c r="AD50" t="e">
        <f>AND(#REF!,"AAAAAHOfPR0=")</f>
        <v>#REF!</v>
      </c>
      <c r="AE50" t="e">
        <f>AND(#REF!,"AAAAAHOfPR4=")</f>
        <v>#REF!</v>
      </c>
      <c r="AF50" t="e">
        <f>AND(#REF!,"AAAAAHOfPR8=")</f>
        <v>#REF!</v>
      </c>
      <c r="AG50" t="e">
        <f>AND(#REF!,"AAAAAHOfPSA=")</f>
        <v>#REF!</v>
      </c>
      <c r="AH50" t="e">
        <f>AND(#REF!,"AAAAAHOfPSE=")</f>
        <v>#REF!</v>
      </c>
      <c r="AI50" t="e">
        <f>AND(#REF!,"AAAAAHOfPSI=")</f>
        <v>#REF!</v>
      </c>
      <c r="AJ50" t="e">
        <f>IF(#REF!,"AAAAAHOfPSM=",0)</f>
        <v>#REF!</v>
      </c>
      <c r="AK50" t="e">
        <f>AND(#REF!,"AAAAAHOfPSQ=")</f>
        <v>#REF!</v>
      </c>
      <c r="AL50" t="e">
        <f>AND(#REF!,"AAAAAHOfPSU=")</f>
        <v>#REF!</v>
      </c>
      <c r="AM50" t="e">
        <f>AND(#REF!,"AAAAAHOfPSY=")</f>
        <v>#REF!</v>
      </c>
      <c r="AN50" t="e">
        <f>AND(#REF!,"AAAAAHOfPSc=")</f>
        <v>#REF!</v>
      </c>
      <c r="AO50" t="e">
        <f>AND(#REF!,"AAAAAHOfPSg=")</f>
        <v>#REF!</v>
      </c>
      <c r="AP50" t="e">
        <f>AND(#REF!,"AAAAAHOfPSk=")</f>
        <v>#REF!</v>
      </c>
      <c r="AQ50" t="e">
        <f>AND(#REF!,"AAAAAHOfPSo=")</f>
        <v>#REF!</v>
      </c>
      <c r="AR50" t="e">
        <f>AND(#REF!,"AAAAAHOfPSs=")</f>
        <v>#REF!</v>
      </c>
      <c r="AS50" t="e">
        <f>AND(#REF!,"AAAAAHOfPSw=")</f>
        <v>#REF!</v>
      </c>
      <c r="AT50" t="e">
        <f>AND(#REF!,"AAAAAHOfPS0=")</f>
        <v>#REF!</v>
      </c>
      <c r="AU50" t="e">
        <f>AND(#REF!,"AAAAAHOfPS4=")</f>
        <v>#REF!</v>
      </c>
      <c r="AV50" t="e">
        <f>AND(#REF!,"AAAAAHOfPS8=")</f>
        <v>#REF!</v>
      </c>
      <c r="AW50" t="e">
        <f>AND(#REF!,"AAAAAHOfPTA=")</f>
        <v>#REF!</v>
      </c>
      <c r="AX50" t="e">
        <f>AND(#REF!,"AAAAAHOfPTE=")</f>
        <v>#REF!</v>
      </c>
      <c r="AY50" t="e">
        <f>AND(#REF!,"AAAAAHOfPTI=")</f>
        <v>#REF!</v>
      </c>
      <c r="AZ50" t="e">
        <f>AND(#REF!,"AAAAAHOfPTM=")</f>
        <v>#REF!</v>
      </c>
      <c r="BA50" t="e">
        <f>AND(#REF!,"AAAAAHOfPTQ=")</f>
        <v>#REF!</v>
      </c>
      <c r="BB50" t="e">
        <f>AND(#REF!,"AAAAAHOfPTU=")</f>
        <v>#REF!</v>
      </c>
      <c r="BC50" t="e">
        <f>AND(#REF!,"AAAAAHOfPTY=")</f>
        <v>#REF!</v>
      </c>
      <c r="BD50" t="e">
        <f>AND(#REF!,"AAAAAHOfPTc=")</f>
        <v>#REF!</v>
      </c>
      <c r="BE50" t="e">
        <f>AND(#REF!,"AAAAAHOfPTg=")</f>
        <v>#REF!</v>
      </c>
      <c r="BF50" t="e">
        <f>AND(#REF!,"AAAAAHOfPTk=")</f>
        <v>#REF!</v>
      </c>
      <c r="BG50" t="e">
        <f>AND(#REF!,"AAAAAHOfPTo=")</f>
        <v>#REF!</v>
      </c>
      <c r="BH50" t="e">
        <f>AND(#REF!,"AAAAAHOfPTs=")</f>
        <v>#REF!</v>
      </c>
      <c r="BI50" t="e">
        <f>AND(#REF!,"AAAAAHOfPTw=")</f>
        <v>#REF!</v>
      </c>
      <c r="BJ50" t="e">
        <f>AND(#REF!,"AAAAAHOfPT0=")</f>
        <v>#REF!</v>
      </c>
      <c r="BK50" t="e">
        <f>AND(#REF!,"AAAAAHOfPT4=")</f>
        <v>#REF!</v>
      </c>
      <c r="BL50" t="e">
        <f>AND(#REF!,"AAAAAHOfPT8=")</f>
        <v>#REF!</v>
      </c>
      <c r="BM50" t="e">
        <f>AND(#REF!,"AAAAAHOfPUA=")</f>
        <v>#REF!</v>
      </c>
      <c r="BN50" t="e">
        <f>IF(#REF!,"AAAAAHOfPUE=",0)</f>
        <v>#REF!</v>
      </c>
      <c r="BO50" t="e">
        <f>AND(#REF!,"AAAAAHOfPUI=")</f>
        <v>#REF!</v>
      </c>
      <c r="BP50" t="e">
        <f>AND(#REF!,"AAAAAHOfPUM=")</f>
        <v>#REF!</v>
      </c>
      <c r="BQ50" t="e">
        <f>AND(#REF!,"AAAAAHOfPUQ=")</f>
        <v>#REF!</v>
      </c>
      <c r="BR50" t="e">
        <f>AND(#REF!,"AAAAAHOfPUU=")</f>
        <v>#REF!</v>
      </c>
      <c r="BS50" t="e">
        <f>AND(#REF!,"AAAAAHOfPUY=")</f>
        <v>#REF!</v>
      </c>
      <c r="BT50" t="e">
        <f>AND(#REF!,"AAAAAHOfPUc=")</f>
        <v>#REF!</v>
      </c>
      <c r="BU50" t="e">
        <f>AND(#REF!,"AAAAAHOfPUg=")</f>
        <v>#REF!</v>
      </c>
      <c r="BV50" t="e">
        <f>AND(#REF!,"AAAAAHOfPUk=")</f>
        <v>#REF!</v>
      </c>
      <c r="BW50" t="e">
        <f>AND(#REF!,"AAAAAHOfPUo=")</f>
        <v>#REF!</v>
      </c>
      <c r="BX50" t="e">
        <f>AND(#REF!,"AAAAAHOfPUs=")</f>
        <v>#REF!</v>
      </c>
      <c r="BY50" t="e">
        <f>AND(#REF!,"AAAAAHOfPUw=")</f>
        <v>#REF!</v>
      </c>
      <c r="BZ50" t="e">
        <f>AND(#REF!,"AAAAAHOfPU0=")</f>
        <v>#REF!</v>
      </c>
      <c r="CA50" t="e">
        <f>AND(#REF!,"AAAAAHOfPU4=")</f>
        <v>#REF!</v>
      </c>
      <c r="CB50" t="e">
        <f>AND(#REF!,"AAAAAHOfPU8=")</f>
        <v>#REF!</v>
      </c>
      <c r="CC50" t="e">
        <f>AND(#REF!,"AAAAAHOfPVA=")</f>
        <v>#REF!</v>
      </c>
      <c r="CD50" t="e">
        <f>AND(#REF!,"AAAAAHOfPVE=")</f>
        <v>#REF!</v>
      </c>
      <c r="CE50" t="e">
        <f>AND(#REF!,"AAAAAHOfPVI=")</f>
        <v>#REF!</v>
      </c>
      <c r="CF50" t="e">
        <f>AND(#REF!,"AAAAAHOfPVM=")</f>
        <v>#REF!</v>
      </c>
      <c r="CG50" t="e">
        <f>AND(#REF!,"AAAAAHOfPVQ=")</f>
        <v>#REF!</v>
      </c>
      <c r="CH50" t="e">
        <f>AND(#REF!,"AAAAAHOfPVU=")</f>
        <v>#REF!</v>
      </c>
      <c r="CI50" t="e">
        <f>AND(#REF!,"AAAAAHOfPVY=")</f>
        <v>#REF!</v>
      </c>
      <c r="CJ50" t="e">
        <f>AND(#REF!,"AAAAAHOfPVc=")</f>
        <v>#REF!</v>
      </c>
      <c r="CK50" t="e">
        <f>AND(#REF!,"AAAAAHOfPVg=")</f>
        <v>#REF!</v>
      </c>
      <c r="CL50" t="e">
        <f>AND(#REF!,"AAAAAHOfPVk=")</f>
        <v>#REF!</v>
      </c>
      <c r="CM50" t="e">
        <f>AND(#REF!,"AAAAAHOfPVo=")</f>
        <v>#REF!</v>
      </c>
      <c r="CN50" t="e">
        <f>AND(#REF!,"AAAAAHOfPVs=")</f>
        <v>#REF!</v>
      </c>
      <c r="CO50" t="e">
        <f>AND(#REF!,"AAAAAHOfPVw=")</f>
        <v>#REF!</v>
      </c>
      <c r="CP50" t="e">
        <f>AND(#REF!,"AAAAAHOfPV0=")</f>
        <v>#REF!</v>
      </c>
      <c r="CQ50" t="e">
        <f>AND(#REF!,"AAAAAHOfPV4=")</f>
        <v>#REF!</v>
      </c>
      <c r="CR50" t="e">
        <f>IF(#REF!,"AAAAAHOfPV8=",0)</f>
        <v>#REF!</v>
      </c>
      <c r="CS50" t="e">
        <f>IF(#REF!,"AAAAAHOfPWA=",0)</f>
        <v>#REF!</v>
      </c>
      <c r="CT50" t="e">
        <f>IF(#REF!,"AAAAAHOfPWE=",0)</f>
        <v>#REF!</v>
      </c>
      <c r="CU50" t="e">
        <f>IF(#REF!,"AAAAAHOfPWI=",0)</f>
        <v>#REF!</v>
      </c>
      <c r="CV50" t="e">
        <f>IF(#REF!,"AAAAAHOfPWM=",0)</f>
        <v>#REF!</v>
      </c>
      <c r="CW50" t="e">
        <f>IF(#REF!,"AAAAAHOfPWQ=",0)</f>
        <v>#REF!</v>
      </c>
      <c r="CX50" t="e">
        <f>IF(#REF!,"AAAAAHOfPWU=",0)</f>
        <v>#REF!</v>
      </c>
      <c r="CY50" t="e">
        <f>IF(#REF!,"AAAAAHOfPWY=",0)</f>
        <v>#REF!</v>
      </c>
      <c r="CZ50" t="e">
        <f>IF(#REF!,"AAAAAHOfPWc=",0)</f>
        <v>#REF!</v>
      </c>
      <c r="DA50" t="e">
        <f>IF(#REF!,"AAAAAHOfPWg=",0)</f>
        <v>#REF!</v>
      </c>
      <c r="DB50" t="e">
        <f>IF(#REF!,"AAAAAHOfPWk=",0)</f>
        <v>#REF!</v>
      </c>
      <c r="DC50" t="e">
        <f>IF(#REF!,"AAAAAHOfPWo=",0)</f>
        <v>#REF!</v>
      </c>
      <c r="DD50" t="e">
        <f>IF(#REF!,"AAAAAHOfPWs=",0)</f>
        <v>#REF!</v>
      </c>
      <c r="DE50" t="e">
        <f>IF(#REF!,"AAAAAHOfPWw=",0)</f>
        <v>#REF!</v>
      </c>
      <c r="DF50" t="e">
        <f>IF(#REF!,"AAAAAHOfPW0=",0)</f>
        <v>#REF!</v>
      </c>
      <c r="DG50" t="e">
        <f>IF(#REF!,"AAAAAHOfPW4=",0)</f>
        <v>#REF!</v>
      </c>
      <c r="DH50" t="e">
        <f>IF(#REF!,"AAAAAHOfPW8=",0)</f>
        <v>#REF!</v>
      </c>
      <c r="DI50" t="e">
        <f>IF(#REF!,"AAAAAHOfPXA=",0)</f>
        <v>#REF!</v>
      </c>
      <c r="DJ50" t="e">
        <f>IF(#REF!,"AAAAAHOfPXE=",0)</f>
        <v>#REF!</v>
      </c>
      <c r="DK50" t="e">
        <f>IF(#REF!,"AAAAAHOfPXI=",0)</f>
        <v>#REF!</v>
      </c>
      <c r="DL50" t="e">
        <f>IF(#REF!,"AAAAAHOfPXM=",0)</f>
        <v>#REF!</v>
      </c>
      <c r="DM50" t="e">
        <f>IF(#REF!,"AAAAAHOfPXQ=",0)</f>
        <v>#REF!</v>
      </c>
      <c r="DN50" t="e">
        <f>IF(#REF!,"AAAAAHOfPXU=",0)</f>
        <v>#REF!</v>
      </c>
      <c r="DO50" t="e">
        <f>IF(#REF!,"AAAAAHOfPXY=",0)</f>
        <v>#REF!</v>
      </c>
      <c r="DP50" t="e">
        <f>IF(#REF!,"AAAAAHOfPXc=",0)</f>
        <v>#REF!</v>
      </c>
      <c r="DQ50" t="e">
        <f>IF(#REF!,"AAAAAHOfPXg=",0)</f>
        <v>#REF!</v>
      </c>
      <c r="DR50" t="e">
        <f>IF(#REF!,"AAAAAHOfPXk=",0)</f>
        <v>#REF!</v>
      </c>
      <c r="DS50" t="e">
        <f>IF(#REF!,"AAAAAHOfPXo=",0)</f>
        <v>#REF!</v>
      </c>
      <c r="DT50" t="e">
        <f>IF(#REF!,"AAAAAHOfPXs=",0)</f>
        <v>#REF!</v>
      </c>
      <c r="DU50" t="e">
        <f>IF(#REF!,"AAAAAHOfPXw=",0)</f>
        <v>#REF!</v>
      </c>
      <c r="DV50" t="e">
        <f>IF(#REF!,"AAAAAHOfPX0=",0)</f>
        <v>#REF!</v>
      </c>
      <c r="DW50" t="e">
        <f>IF(#REF!,"AAAAAHOfPX4=",0)</f>
        <v>#REF!</v>
      </c>
      <c r="DX50" t="e">
        <f>IF(#REF!,"AAAAAHOfPX8=",0)</f>
        <v>#REF!</v>
      </c>
      <c r="DY50" t="e">
        <f>IF(#REF!,"AAAAAHOfPYA=",0)</f>
        <v>#REF!</v>
      </c>
      <c r="DZ50" t="e">
        <f>IF(#REF!,"AAAAAHOfPYE=",0)</f>
        <v>#REF!</v>
      </c>
      <c r="EA50" t="e">
        <f>IF(#REF!,"AAAAAHOfPYI=",0)</f>
        <v>#REF!</v>
      </c>
      <c r="EB50" t="e">
        <f>IF(#REF!,"AAAAAHOfPYM=",0)</f>
        <v>#REF!</v>
      </c>
      <c r="EC50" t="e">
        <f>IF(#REF!,"AAAAAHOfPYQ=",0)</f>
        <v>#REF!</v>
      </c>
      <c r="ED50" t="e">
        <f>IF(#REF!,"AAAAAHOfPYU=",0)</f>
        <v>#REF!</v>
      </c>
      <c r="EE50" t="s">
        <v>75</v>
      </c>
      <c r="EF50" s="8" t="s">
        <v>76</v>
      </c>
      <c r="EG50" t="e">
        <v>#VALUE!</v>
      </c>
    </row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6"/>
  <sheetViews>
    <sheetView workbookViewId="0">
      <selection activeCell="I68" sqref="I68"/>
    </sheetView>
  </sheetViews>
  <sheetFormatPr baseColWidth="10" defaultColWidth="11.42578125" defaultRowHeight="12.75" x14ac:dyDescent="0.2"/>
  <cols>
    <col min="1" max="1" width="10.7109375" customWidth="1"/>
    <col min="2" max="16" width="12.7109375" customWidth="1"/>
    <col min="18" max="18" width="57.85546875" bestFit="1" customWidth="1"/>
    <col min="19" max="19" width="7.7109375" customWidth="1"/>
    <col min="259" max="259" width="10.7109375" customWidth="1"/>
    <col min="260" max="260" width="39.140625" customWidth="1"/>
    <col min="261" max="270" width="12.7109375" customWidth="1"/>
    <col min="271" max="271" width="9.140625" customWidth="1"/>
    <col min="272" max="272" width="13.5703125" bestFit="1" customWidth="1"/>
    <col min="275" max="275" width="26.42578125" bestFit="1" customWidth="1"/>
    <col min="515" max="515" width="10.7109375" customWidth="1"/>
    <col min="516" max="516" width="39.140625" customWidth="1"/>
    <col min="517" max="526" width="12.7109375" customWidth="1"/>
    <col min="527" max="527" width="9.140625" customWidth="1"/>
    <col min="528" max="528" width="13.5703125" bestFit="1" customWidth="1"/>
    <col min="531" max="531" width="26.42578125" bestFit="1" customWidth="1"/>
    <col min="771" max="771" width="10.7109375" customWidth="1"/>
    <col min="772" max="772" width="39.140625" customWidth="1"/>
    <col min="773" max="782" width="12.7109375" customWidth="1"/>
    <col min="783" max="783" width="9.140625" customWidth="1"/>
    <col min="784" max="784" width="13.5703125" bestFit="1" customWidth="1"/>
    <col min="787" max="787" width="26.42578125" bestFit="1" customWidth="1"/>
    <col min="1027" max="1027" width="10.7109375" customWidth="1"/>
    <col min="1028" max="1028" width="39.140625" customWidth="1"/>
    <col min="1029" max="1038" width="12.7109375" customWidth="1"/>
    <col min="1039" max="1039" width="9.140625" customWidth="1"/>
    <col min="1040" max="1040" width="13.5703125" bestFit="1" customWidth="1"/>
    <col min="1043" max="1043" width="26.42578125" bestFit="1" customWidth="1"/>
    <col min="1283" max="1283" width="10.7109375" customWidth="1"/>
    <col min="1284" max="1284" width="39.140625" customWidth="1"/>
    <col min="1285" max="1294" width="12.7109375" customWidth="1"/>
    <col min="1295" max="1295" width="9.140625" customWidth="1"/>
    <col min="1296" max="1296" width="13.5703125" bestFit="1" customWidth="1"/>
    <col min="1299" max="1299" width="26.42578125" bestFit="1" customWidth="1"/>
    <col min="1539" max="1539" width="10.7109375" customWidth="1"/>
    <col min="1540" max="1540" width="39.140625" customWidth="1"/>
    <col min="1541" max="1550" width="12.7109375" customWidth="1"/>
    <col min="1551" max="1551" width="9.140625" customWidth="1"/>
    <col min="1552" max="1552" width="13.5703125" bestFit="1" customWidth="1"/>
    <col min="1555" max="1555" width="26.42578125" bestFit="1" customWidth="1"/>
    <col min="1795" max="1795" width="10.7109375" customWidth="1"/>
    <col min="1796" max="1796" width="39.140625" customWidth="1"/>
    <col min="1797" max="1806" width="12.7109375" customWidth="1"/>
    <col min="1807" max="1807" width="9.140625" customWidth="1"/>
    <col min="1808" max="1808" width="13.5703125" bestFit="1" customWidth="1"/>
    <col min="1811" max="1811" width="26.42578125" bestFit="1" customWidth="1"/>
    <col min="2051" max="2051" width="10.7109375" customWidth="1"/>
    <col min="2052" max="2052" width="39.140625" customWidth="1"/>
    <col min="2053" max="2062" width="12.7109375" customWidth="1"/>
    <col min="2063" max="2063" width="9.140625" customWidth="1"/>
    <col min="2064" max="2064" width="13.5703125" bestFit="1" customWidth="1"/>
    <col min="2067" max="2067" width="26.42578125" bestFit="1" customWidth="1"/>
    <col min="2307" max="2307" width="10.7109375" customWidth="1"/>
    <col min="2308" max="2308" width="39.140625" customWidth="1"/>
    <col min="2309" max="2318" width="12.7109375" customWidth="1"/>
    <col min="2319" max="2319" width="9.140625" customWidth="1"/>
    <col min="2320" max="2320" width="13.5703125" bestFit="1" customWidth="1"/>
    <col min="2323" max="2323" width="26.42578125" bestFit="1" customWidth="1"/>
    <col min="2563" max="2563" width="10.7109375" customWidth="1"/>
    <col min="2564" max="2564" width="39.140625" customWidth="1"/>
    <col min="2565" max="2574" width="12.7109375" customWidth="1"/>
    <col min="2575" max="2575" width="9.140625" customWidth="1"/>
    <col min="2576" max="2576" width="13.5703125" bestFit="1" customWidth="1"/>
    <col min="2579" max="2579" width="26.42578125" bestFit="1" customWidth="1"/>
    <col min="2819" max="2819" width="10.7109375" customWidth="1"/>
    <col min="2820" max="2820" width="39.140625" customWidth="1"/>
    <col min="2821" max="2830" width="12.7109375" customWidth="1"/>
    <col min="2831" max="2831" width="9.140625" customWidth="1"/>
    <col min="2832" max="2832" width="13.5703125" bestFit="1" customWidth="1"/>
    <col min="2835" max="2835" width="26.42578125" bestFit="1" customWidth="1"/>
    <col min="3075" max="3075" width="10.7109375" customWidth="1"/>
    <col min="3076" max="3076" width="39.140625" customWidth="1"/>
    <col min="3077" max="3086" width="12.7109375" customWidth="1"/>
    <col min="3087" max="3087" width="9.140625" customWidth="1"/>
    <col min="3088" max="3088" width="13.5703125" bestFit="1" customWidth="1"/>
    <col min="3091" max="3091" width="26.42578125" bestFit="1" customWidth="1"/>
    <col min="3331" max="3331" width="10.7109375" customWidth="1"/>
    <col min="3332" max="3332" width="39.140625" customWidth="1"/>
    <col min="3333" max="3342" width="12.7109375" customWidth="1"/>
    <col min="3343" max="3343" width="9.140625" customWidth="1"/>
    <col min="3344" max="3344" width="13.5703125" bestFit="1" customWidth="1"/>
    <col min="3347" max="3347" width="26.42578125" bestFit="1" customWidth="1"/>
    <col min="3587" max="3587" width="10.7109375" customWidth="1"/>
    <col min="3588" max="3588" width="39.140625" customWidth="1"/>
    <col min="3589" max="3598" width="12.7109375" customWidth="1"/>
    <col min="3599" max="3599" width="9.140625" customWidth="1"/>
    <col min="3600" max="3600" width="13.5703125" bestFit="1" customWidth="1"/>
    <col min="3603" max="3603" width="26.42578125" bestFit="1" customWidth="1"/>
    <col min="3843" max="3843" width="10.7109375" customWidth="1"/>
    <col min="3844" max="3844" width="39.140625" customWidth="1"/>
    <col min="3845" max="3854" width="12.7109375" customWidth="1"/>
    <col min="3855" max="3855" width="9.140625" customWidth="1"/>
    <col min="3856" max="3856" width="13.5703125" bestFit="1" customWidth="1"/>
    <col min="3859" max="3859" width="26.42578125" bestFit="1" customWidth="1"/>
    <col min="4099" max="4099" width="10.7109375" customWidth="1"/>
    <col min="4100" max="4100" width="39.140625" customWidth="1"/>
    <col min="4101" max="4110" width="12.7109375" customWidth="1"/>
    <col min="4111" max="4111" width="9.140625" customWidth="1"/>
    <col min="4112" max="4112" width="13.5703125" bestFit="1" customWidth="1"/>
    <col min="4115" max="4115" width="26.42578125" bestFit="1" customWidth="1"/>
    <col min="4355" max="4355" width="10.7109375" customWidth="1"/>
    <col min="4356" max="4356" width="39.140625" customWidth="1"/>
    <col min="4357" max="4366" width="12.7109375" customWidth="1"/>
    <col min="4367" max="4367" width="9.140625" customWidth="1"/>
    <col min="4368" max="4368" width="13.5703125" bestFit="1" customWidth="1"/>
    <col min="4371" max="4371" width="26.42578125" bestFit="1" customWidth="1"/>
    <col min="4611" max="4611" width="10.7109375" customWidth="1"/>
    <col min="4612" max="4612" width="39.140625" customWidth="1"/>
    <col min="4613" max="4622" width="12.7109375" customWidth="1"/>
    <col min="4623" max="4623" width="9.140625" customWidth="1"/>
    <col min="4624" max="4624" width="13.5703125" bestFit="1" customWidth="1"/>
    <col min="4627" max="4627" width="26.42578125" bestFit="1" customWidth="1"/>
    <col min="4867" max="4867" width="10.7109375" customWidth="1"/>
    <col min="4868" max="4868" width="39.140625" customWidth="1"/>
    <col min="4869" max="4878" width="12.7109375" customWidth="1"/>
    <col min="4879" max="4879" width="9.140625" customWidth="1"/>
    <col min="4880" max="4880" width="13.5703125" bestFit="1" customWidth="1"/>
    <col min="4883" max="4883" width="26.42578125" bestFit="1" customWidth="1"/>
    <col min="5123" max="5123" width="10.7109375" customWidth="1"/>
    <col min="5124" max="5124" width="39.140625" customWidth="1"/>
    <col min="5125" max="5134" width="12.7109375" customWidth="1"/>
    <col min="5135" max="5135" width="9.140625" customWidth="1"/>
    <col min="5136" max="5136" width="13.5703125" bestFit="1" customWidth="1"/>
    <col min="5139" max="5139" width="26.42578125" bestFit="1" customWidth="1"/>
    <col min="5379" max="5379" width="10.7109375" customWidth="1"/>
    <col min="5380" max="5380" width="39.140625" customWidth="1"/>
    <col min="5381" max="5390" width="12.7109375" customWidth="1"/>
    <col min="5391" max="5391" width="9.140625" customWidth="1"/>
    <col min="5392" max="5392" width="13.5703125" bestFit="1" customWidth="1"/>
    <col min="5395" max="5395" width="26.42578125" bestFit="1" customWidth="1"/>
    <col min="5635" max="5635" width="10.7109375" customWidth="1"/>
    <col min="5636" max="5636" width="39.140625" customWidth="1"/>
    <col min="5637" max="5646" width="12.7109375" customWidth="1"/>
    <col min="5647" max="5647" width="9.140625" customWidth="1"/>
    <col min="5648" max="5648" width="13.5703125" bestFit="1" customWidth="1"/>
    <col min="5651" max="5651" width="26.42578125" bestFit="1" customWidth="1"/>
    <col min="5891" max="5891" width="10.7109375" customWidth="1"/>
    <col min="5892" max="5892" width="39.140625" customWidth="1"/>
    <col min="5893" max="5902" width="12.7109375" customWidth="1"/>
    <col min="5903" max="5903" width="9.140625" customWidth="1"/>
    <col min="5904" max="5904" width="13.5703125" bestFit="1" customWidth="1"/>
    <col min="5907" max="5907" width="26.42578125" bestFit="1" customWidth="1"/>
    <col min="6147" max="6147" width="10.7109375" customWidth="1"/>
    <col min="6148" max="6148" width="39.140625" customWidth="1"/>
    <col min="6149" max="6158" width="12.7109375" customWidth="1"/>
    <col min="6159" max="6159" width="9.140625" customWidth="1"/>
    <col min="6160" max="6160" width="13.5703125" bestFit="1" customWidth="1"/>
    <col min="6163" max="6163" width="26.42578125" bestFit="1" customWidth="1"/>
    <col min="6403" max="6403" width="10.7109375" customWidth="1"/>
    <col min="6404" max="6404" width="39.140625" customWidth="1"/>
    <col min="6405" max="6414" width="12.7109375" customWidth="1"/>
    <col min="6415" max="6415" width="9.140625" customWidth="1"/>
    <col min="6416" max="6416" width="13.5703125" bestFit="1" customWidth="1"/>
    <col min="6419" max="6419" width="26.42578125" bestFit="1" customWidth="1"/>
    <col min="6659" max="6659" width="10.7109375" customWidth="1"/>
    <col min="6660" max="6660" width="39.140625" customWidth="1"/>
    <col min="6661" max="6670" width="12.7109375" customWidth="1"/>
    <col min="6671" max="6671" width="9.140625" customWidth="1"/>
    <col min="6672" max="6672" width="13.5703125" bestFit="1" customWidth="1"/>
    <col min="6675" max="6675" width="26.42578125" bestFit="1" customWidth="1"/>
    <col min="6915" max="6915" width="10.7109375" customWidth="1"/>
    <col min="6916" max="6916" width="39.140625" customWidth="1"/>
    <col min="6917" max="6926" width="12.7109375" customWidth="1"/>
    <col min="6927" max="6927" width="9.140625" customWidth="1"/>
    <col min="6928" max="6928" width="13.5703125" bestFit="1" customWidth="1"/>
    <col min="6931" max="6931" width="26.42578125" bestFit="1" customWidth="1"/>
    <col min="7171" max="7171" width="10.7109375" customWidth="1"/>
    <col min="7172" max="7172" width="39.140625" customWidth="1"/>
    <col min="7173" max="7182" width="12.7109375" customWidth="1"/>
    <col min="7183" max="7183" width="9.140625" customWidth="1"/>
    <col min="7184" max="7184" width="13.5703125" bestFit="1" customWidth="1"/>
    <col min="7187" max="7187" width="26.42578125" bestFit="1" customWidth="1"/>
    <col min="7427" max="7427" width="10.7109375" customWidth="1"/>
    <col min="7428" max="7428" width="39.140625" customWidth="1"/>
    <col min="7429" max="7438" width="12.7109375" customWidth="1"/>
    <col min="7439" max="7439" width="9.140625" customWidth="1"/>
    <col min="7440" max="7440" width="13.5703125" bestFit="1" customWidth="1"/>
    <col min="7443" max="7443" width="26.42578125" bestFit="1" customWidth="1"/>
    <col min="7683" max="7683" width="10.7109375" customWidth="1"/>
    <col min="7684" max="7684" width="39.140625" customWidth="1"/>
    <col min="7685" max="7694" width="12.7109375" customWidth="1"/>
    <col min="7695" max="7695" width="9.140625" customWidth="1"/>
    <col min="7696" max="7696" width="13.5703125" bestFit="1" customWidth="1"/>
    <col min="7699" max="7699" width="26.42578125" bestFit="1" customWidth="1"/>
    <col min="7939" max="7939" width="10.7109375" customWidth="1"/>
    <col min="7940" max="7940" width="39.140625" customWidth="1"/>
    <col min="7941" max="7950" width="12.7109375" customWidth="1"/>
    <col min="7951" max="7951" width="9.140625" customWidth="1"/>
    <col min="7952" max="7952" width="13.5703125" bestFit="1" customWidth="1"/>
    <col min="7955" max="7955" width="26.42578125" bestFit="1" customWidth="1"/>
    <col min="8195" max="8195" width="10.7109375" customWidth="1"/>
    <col min="8196" max="8196" width="39.140625" customWidth="1"/>
    <col min="8197" max="8206" width="12.7109375" customWidth="1"/>
    <col min="8207" max="8207" width="9.140625" customWidth="1"/>
    <col min="8208" max="8208" width="13.5703125" bestFit="1" customWidth="1"/>
    <col min="8211" max="8211" width="26.42578125" bestFit="1" customWidth="1"/>
    <col min="8451" max="8451" width="10.7109375" customWidth="1"/>
    <col min="8452" max="8452" width="39.140625" customWidth="1"/>
    <col min="8453" max="8462" width="12.7109375" customWidth="1"/>
    <col min="8463" max="8463" width="9.140625" customWidth="1"/>
    <col min="8464" max="8464" width="13.5703125" bestFit="1" customWidth="1"/>
    <col min="8467" max="8467" width="26.42578125" bestFit="1" customWidth="1"/>
    <col min="8707" max="8707" width="10.7109375" customWidth="1"/>
    <col min="8708" max="8708" width="39.140625" customWidth="1"/>
    <col min="8709" max="8718" width="12.7109375" customWidth="1"/>
    <col min="8719" max="8719" width="9.140625" customWidth="1"/>
    <col min="8720" max="8720" width="13.5703125" bestFit="1" customWidth="1"/>
    <col min="8723" max="8723" width="26.42578125" bestFit="1" customWidth="1"/>
    <col min="8963" max="8963" width="10.7109375" customWidth="1"/>
    <col min="8964" max="8964" width="39.140625" customWidth="1"/>
    <col min="8965" max="8974" width="12.7109375" customWidth="1"/>
    <col min="8975" max="8975" width="9.140625" customWidth="1"/>
    <col min="8976" max="8976" width="13.5703125" bestFit="1" customWidth="1"/>
    <col min="8979" max="8979" width="26.42578125" bestFit="1" customWidth="1"/>
    <col min="9219" max="9219" width="10.7109375" customWidth="1"/>
    <col min="9220" max="9220" width="39.140625" customWidth="1"/>
    <col min="9221" max="9230" width="12.7109375" customWidth="1"/>
    <col min="9231" max="9231" width="9.140625" customWidth="1"/>
    <col min="9232" max="9232" width="13.5703125" bestFit="1" customWidth="1"/>
    <col min="9235" max="9235" width="26.42578125" bestFit="1" customWidth="1"/>
    <col min="9475" max="9475" width="10.7109375" customWidth="1"/>
    <col min="9476" max="9476" width="39.140625" customWidth="1"/>
    <col min="9477" max="9486" width="12.7109375" customWidth="1"/>
    <col min="9487" max="9487" width="9.140625" customWidth="1"/>
    <col min="9488" max="9488" width="13.5703125" bestFit="1" customWidth="1"/>
    <col min="9491" max="9491" width="26.42578125" bestFit="1" customWidth="1"/>
    <col min="9731" max="9731" width="10.7109375" customWidth="1"/>
    <col min="9732" max="9732" width="39.140625" customWidth="1"/>
    <col min="9733" max="9742" width="12.7109375" customWidth="1"/>
    <col min="9743" max="9743" width="9.140625" customWidth="1"/>
    <col min="9744" max="9744" width="13.5703125" bestFit="1" customWidth="1"/>
    <col min="9747" max="9747" width="26.42578125" bestFit="1" customWidth="1"/>
    <col min="9987" max="9987" width="10.7109375" customWidth="1"/>
    <col min="9988" max="9988" width="39.140625" customWidth="1"/>
    <col min="9989" max="9998" width="12.7109375" customWidth="1"/>
    <col min="9999" max="9999" width="9.140625" customWidth="1"/>
    <col min="10000" max="10000" width="13.5703125" bestFit="1" customWidth="1"/>
    <col min="10003" max="10003" width="26.42578125" bestFit="1" customWidth="1"/>
    <col min="10243" max="10243" width="10.7109375" customWidth="1"/>
    <col min="10244" max="10244" width="39.140625" customWidth="1"/>
    <col min="10245" max="10254" width="12.7109375" customWidth="1"/>
    <col min="10255" max="10255" width="9.140625" customWidth="1"/>
    <col min="10256" max="10256" width="13.5703125" bestFit="1" customWidth="1"/>
    <col min="10259" max="10259" width="26.42578125" bestFit="1" customWidth="1"/>
    <col min="10499" max="10499" width="10.7109375" customWidth="1"/>
    <col min="10500" max="10500" width="39.140625" customWidth="1"/>
    <col min="10501" max="10510" width="12.7109375" customWidth="1"/>
    <col min="10511" max="10511" width="9.140625" customWidth="1"/>
    <col min="10512" max="10512" width="13.5703125" bestFit="1" customWidth="1"/>
    <col min="10515" max="10515" width="26.42578125" bestFit="1" customWidth="1"/>
    <col min="10755" max="10755" width="10.7109375" customWidth="1"/>
    <col min="10756" max="10756" width="39.140625" customWidth="1"/>
    <col min="10757" max="10766" width="12.7109375" customWidth="1"/>
    <col min="10767" max="10767" width="9.140625" customWidth="1"/>
    <col min="10768" max="10768" width="13.5703125" bestFit="1" customWidth="1"/>
    <col min="10771" max="10771" width="26.42578125" bestFit="1" customWidth="1"/>
    <col min="11011" max="11011" width="10.7109375" customWidth="1"/>
    <col min="11012" max="11012" width="39.140625" customWidth="1"/>
    <col min="11013" max="11022" width="12.7109375" customWidth="1"/>
    <col min="11023" max="11023" width="9.140625" customWidth="1"/>
    <col min="11024" max="11024" width="13.5703125" bestFit="1" customWidth="1"/>
    <col min="11027" max="11027" width="26.42578125" bestFit="1" customWidth="1"/>
    <col min="11267" max="11267" width="10.7109375" customWidth="1"/>
    <col min="11268" max="11268" width="39.140625" customWidth="1"/>
    <col min="11269" max="11278" width="12.7109375" customWidth="1"/>
    <col min="11279" max="11279" width="9.140625" customWidth="1"/>
    <col min="11280" max="11280" width="13.5703125" bestFit="1" customWidth="1"/>
    <col min="11283" max="11283" width="26.42578125" bestFit="1" customWidth="1"/>
    <col min="11523" max="11523" width="10.7109375" customWidth="1"/>
    <col min="11524" max="11524" width="39.140625" customWidth="1"/>
    <col min="11525" max="11534" width="12.7109375" customWidth="1"/>
    <col min="11535" max="11535" width="9.140625" customWidth="1"/>
    <col min="11536" max="11536" width="13.5703125" bestFit="1" customWidth="1"/>
    <col min="11539" max="11539" width="26.42578125" bestFit="1" customWidth="1"/>
    <col min="11779" max="11779" width="10.7109375" customWidth="1"/>
    <col min="11780" max="11780" width="39.140625" customWidth="1"/>
    <col min="11781" max="11790" width="12.7109375" customWidth="1"/>
    <col min="11791" max="11791" width="9.140625" customWidth="1"/>
    <col min="11792" max="11792" width="13.5703125" bestFit="1" customWidth="1"/>
    <col min="11795" max="11795" width="26.42578125" bestFit="1" customWidth="1"/>
    <col min="12035" max="12035" width="10.7109375" customWidth="1"/>
    <col min="12036" max="12036" width="39.140625" customWidth="1"/>
    <col min="12037" max="12046" width="12.7109375" customWidth="1"/>
    <col min="12047" max="12047" width="9.140625" customWidth="1"/>
    <col min="12048" max="12048" width="13.5703125" bestFit="1" customWidth="1"/>
    <col min="12051" max="12051" width="26.42578125" bestFit="1" customWidth="1"/>
    <col min="12291" max="12291" width="10.7109375" customWidth="1"/>
    <col min="12292" max="12292" width="39.140625" customWidth="1"/>
    <col min="12293" max="12302" width="12.7109375" customWidth="1"/>
    <col min="12303" max="12303" width="9.140625" customWidth="1"/>
    <col min="12304" max="12304" width="13.5703125" bestFit="1" customWidth="1"/>
    <col min="12307" max="12307" width="26.42578125" bestFit="1" customWidth="1"/>
    <col min="12547" max="12547" width="10.7109375" customWidth="1"/>
    <col min="12548" max="12548" width="39.140625" customWidth="1"/>
    <col min="12549" max="12558" width="12.7109375" customWidth="1"/>
    <col min="12559" max="12559" width="9.140625" customWidth="1"/>
    <col min="12560" max="12560" width="13.5703125" bestFit="1" customWidth="1"/>
    <col min="12563" max="12563" width="26.42578125" bestFit="1" customWidth="1"/>
    <col min="12803" max="12803" width="10.7109375" customWidth="1"/>
    <col min="12804" max="12804" width="39.140625" customWidth="1"/>
    <col min="12805" max="12814" width="12.7109375" customWidth="1"/>
    <col min="12815" max="12815" width="9.140625" customWidth="1"/>
    <col min="12816" max="12816" width="13.5703125" bestFit="1" customWidth="1"/>
    <col min="12819" max="12819" width="26.42578125" bestFit="1" customWidth="1"/>
    <col min="13059" max="13059" width="10.7109375" customWidth="1"/>
    <col min="13060" max="13060" width="39.140625" customWidth="1"/>
    <col min="13061" max="13070" width="12.7109375" customWidth="1"/>
    <col min="13071" max="13071" width="9.140625" customWidth="1"/>
    <col min="13072" max="13072" width="13.5703125" bestFit="1" customWidth="1"/>
    <col min="13075" max="13075" width="26.42578125" bestFit="1" customWidth="1"/>
    <col min="13315" max="13315" width="10.7109375" customWidth="1"/>
    <col min="13316" max="13316" width="39.140625" customWidth="1"/>
    <col min="13317" max="13326" width="12.7109375" customWidth="1"/>
    <col min="13327" max="13327" width="9.140625" customWidth="1"/>
    <col min="13328" max="13328" width="13.5703125" bestFit="1" customWidth="1"/>
    <col min="13331" max="13331" width="26.42578125" bestFit="1" customWidth="1"/>
    <col min="13571" max="13571" width="10.7109375" customWidth="1"/>
    <col min="13572" max="13572" width="39.140625" customWidth="1"/>
    <col min="13573" max="13582" width="12.7109375" customWidth="1"/>
    <col min="13583" max="13583" width="9.140625" customWidth="1"/>
    <col min="13584" max="13584" width="13.5703125" bestFit="1" customWidth="1"/>
    <col min="13587" max="13587" width="26.42578125" bestFit="1" customWidth="1"/>
    <col min="13827" max="13827" width="10.7109375" customWidth="1"/>
    <col min="13828" max="13828" width="39.140625" customWidth="1"/>
    <col min="13829" max="13838" width="12.7109375" customWidth="1"/>
    <col min="13839" max="13839" width="9.140625" customWidth="1"/>
    <col min="13840" max="13840" width="13.5703125" bestFit="1" customWidth="1"/>
    <col min="13843" max="13843" width="26.42578125" bestFit="1" customWidth="1"/>
    <col min="14083" max="14083" width="10.7109375" customWidth="1"/>
    <col min="14084" max="14084" width="39.140625" customWidth="1"/>
    <col min="14085" max="14094" width="12.7109375" customWidth="1"/>
    <col min="14095" max="14095" width="9.140625" customWidth="1"/>
    <col min="14096" max="14096" width="13.5703125" bestFit="1" customWidth="1"/>
    <col min="14099" max="14099" width="26.42578125" bestFit="1" customWidth="1"/>
    <col min="14339" max="14339" width="10.7109375" customWidth="1"/>
    <col min="14340" max="14340" width="39.140625" customWidth="1"/>
    <col min="14341" max="14350" width="12.7109375" customWidth="1"/>
    <col min="14351" max="14351" width="9.140625" customWidth="1"/>
    <col min="14352" max="14352" width="13.5703125" bestFit="1" customWidth="1"/>
    <col min="14355" max="14355" width="26.42578125" bestFit="1" customWidth="1"/>
    <col min="14595" max="14595" width="10.7109375" customWidth="1"/>
    <col min="14596" max="14596" width="39.140625" customWidth="1"/>
    <col min="14597" max="14606" width="12.7109375" customWidth="1"/>
    <col min="14607" max="14607" width="9.140625" customWidth="1"/>
    <col min="14608" max="14608" width="13.5703125" bestFit="1" customWidth="1"/>
    <col min="14611" max="14611" width="26.42578125" bestFit="1" customWidth="1"/>
    <col min="14851" max="14851" width="10.7109375" customWidth="1"/>
    <col min="14852" max="14852" width="39.140625" customWidth="1"/>
    <col min="14853" max="14862" width="12.7109375" customWidth="1"/>
    <col min="14863" max="14863" width="9.140625" customWidth="1"/>
    <col min="14864" max="14864" width="13.5703125" bestFit="1" customWidth="1"/>
    <col min="14867" max="14867" width="26.42578125" bestFit="1" customWidth="1"/>
    <col min="15107" max="15107" width="10.7109375" customWidth="1"/>
    <col min="15108" max="15108" width="39.140625" customWidth="1"/>
    <col min="15109" max="15118" width="12.7109375" customWidth="1"/>
    <col min="15119" max="15119" width="9.140625" customWidth="1"/>
    <col min="15120" max="15120" width="13.5703125" bestFit="1" customWidth="1"/>
    <col min="15123" max="15123" width="26.42578125" bestFit="1" customWidth="1"/>
    <col min="15363" max="15363" width="10.7109375" customWidth="1"/>
    <col min="15364" max="15364" width="39.140625" customWidth="1"/>
    <col min="15365" max="15374" width="12.7109375" customWidth="1"/>
    <col min="15375" max="15375" width="9.140625" customWidth="1"/>
    <col min="15376" max="15376" width="13.5703125" bestFit="1" customWidth="1"/>
    <col min="15379" max="15379" width="26.42578125" bestFit="1" customWidth="1"/>
    <col min="15619" max="15619" width="10.7109375" customWidth="1"/>
    <col min="15620" max="15620" width="39.140625" customWidth="1"/>
    <col min="15621" max="15630" width="12.7109375" customWidth="1"/>
    <col min="15631" max="15631" width="9.140625" customWidth="1"/>
    <col min="15632" max="15632" width="13.5703125" bestFit="1" customWidth="1"/>
    <col min="15635" max="15635" width="26.42578125" bestFit="1" customWidth="1"/>
    <col min="15875" max="15875" width="10.7109375" customWidth="1"/>
    <col min="15876" max="15876" width="39.140625" customWidth="1"/>
    <col min="15877" max="15886" width="12.7109375" customWidth="1"/>
    <col min="15887" max="15887" width="9.140625" customWidth="1"/>
    <col min="15888" max="15888" width="13.5703125" bestFit="1" customWidth="1"/>
    <col min="15891" max="15891" width="26.42578125" bestFit="1" customWidth="1"/>
    <col min="16131" max="16131" width="10.7109375" customWidth="1"/>
    <col min="16132" max="16132" width="39.140625" customWidth="1"/>
    <col min="16133" max="16142" width="12.7109375" customWidth="1"/>
    <col min="16143" max="16143" width="9.140625" customWidth="1"/>
    <col min="16144" max="16144" width="13.5703125" bestFit="1" customWidth="1"/>
    <col min="16147" max="16147" width="26.42578125" bestFit="1" customWidth="1"/>
  </cols>
  <sheetData>
    <row r="1" spans="1:20" ht="15.75" x14ac:dyDescent="0.25">
      <c r="A1" s="112" t="s">
        <v>90</v>
      </c>
      <c r="B1" s="112"/>
      <c r="C1" s="112"/>
      <c r="D1" s="112"/>
      <c r="E1" s="112"/>
      <c r="F1" s="112"/>
      <c r="G1" s="112"/>
      <c r="H1" s="101"/>
      <c r="I1" s="101"/>
      <c r="J1" s="101"/>
      <c r="K1" s="101"/>
      <c r="L1" s="101"/>
    </row>
    <row r="2" spans="1:20" ht="15.75" x14ac:dyDescent="0.25">
      <c r="A2" s="112" t="s">
        <v>91</v>
      </c>
      <c r="B2" s="112"/>
      <c r="C2" s="112"/>
      <c r="D2" s="112"/>
      <c r="E2" s="112"/>
      <c r="F2" s="112"/>
      <c r="G2" s="112"/>
      <c r="H2" s="101"/>
      <c r="I2" s="101"/>
      <c r="J2" s="101"/>
      <c r="K2" s="101"/>
      <c r="L2" s="101"/>
    </row>
    <row r="3" spans="1:20" ht="15.75" x14ac:dyDescent="0.25">
      <c r="A3" s="115" t="s">
        <v>92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20" x14ac:dyDescent="0.2">
      <c r="A4" s="1"/>
      <c r="B4" s="76"/>
      <c r="C4" s="76"/>
      <c r="D4" s="76"/>
      <c r="E4" s="76"/>
      <c r="F4" s="76"/>
    </row>
    <row r="5" spans="1:20" x14ac:dyDescent="0.2">
      <c r="A5" s="3" t="s">
        <v>1</v>
      </c>
      <c r="B5" s="3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 t="s">
        <v>22</v>
      </c>
      <c r="K5" s="3" t="s">
        <v>87</v>
      </c>
      <c r="L5" s="3" t="s">
        <v>156</v>
      </c>
      <c r="M5" s="3" t="s">
        <v>103</v>
      </c>
      <c r="N5" s="3" t="s">
        <v>93</v>
      </c>
      <c r="R5" s="11" t="s">
        <v>31</v>
      </c>
      <c r="S5" s="11" t="s">
        <v>32</v>
      </c>
      <c r="T5" s="82" t="s">
        <v>99</v>
      </c>
    </row>
    <row r="6" spans="1:20" x14ac:dyDescent="0.2">
      <c r="A6" s="86" t="s">
        <v>115</v>
      </c>
      <c r="B6" s="77">
        <f>100*0.065+100*0.065</f>
        <v>13</v>
      </c>
      <c r="C6" s="77">
        <f>100*0.06</f>
        <v>6</v>
      </c>
      <c r="D6" s="77">
        <f>100*0.06</f>
        <v>6</v>
      </c>
      <c r="E6" s="77">
        <f>AVERAGE(B114:C114)*0.17</f>
        <v>16.150000000000002</v>
      </c>
      <c r="F6" s="77">
        <f>D114*0.17</f>
        <v>17</v>
      </c>
      <c r="G6" s="77">
        <f>(P87+100)/2*0.17</f>
        <v>17</v>
      </c>
      <c r="H6" s="77">
        <f>F114*0.17</f>
        <v>17</v>
      </c>
      <c r="I6" s="77">
        <f>E114*0.07</f>
        <v>7.0000000000000009</v>
      </c>
      <c r="J6" s="78">
        <f>SUM(B6:I6)</f>
        <v>99.15</v>
      </c>
      <c r="K6" s="78">
        <f>F33*0.5+G149*0.5</f>
        <v>99.6</v>
      </c>
      <c r="L6" s="78">
        <f t="shared" ref="L6:L29" si="0">J60</f>
        <v>92.229166666666671</v>
      </c>
      <c r="M6" s="78">
        <v>89</v>
      </c>
      <c r="N6" s="79">
        <f>AVERAGE(J6:M6)</f>
        <v>94.994791666666671</v>
      </c>
      <c r="P6" s="85">
        <v>2</v>
      </c>
      <c r="R6" s="12" t="s">
        <v>157</v>
      </c>
      <c r="S6" s="81">
        <f>T6*100/$T$14</f>
        <v>13.333333333333334</v>
      </c>
      <c r="T6" s="83">
        <v>0.04</v>
      </c>
    </row>
    <row r="7" spans="1:20" x14ac:dyDescent="0.2">
      <c r="A7" s="86" t="s">
        <v>116</v>
      </c>
      <c r="B7" s="77">
        <f>100*0.065+100*0.065</f>
        <v>13</v>
      </c>
      <c r="C7" s="77">
        <f t="shared" ref="C7:D9" si="1">100*0.06</f>
        <v>6</v>
      </c>
      <c r="D7" s="77">
        <f t="shared" si="1"/>
        <v>6</v>
      </c>
      <c r="E7" s="77">
        <f t="shared" ref="E7:E29" si="2">AVERAGE(B115:C115)*0.17</f>
        <v>16.150000000000002</v>
      </c>
      <c r="F7" s="77">
        <f t="shared" ref="F7:F29" si="3">D115*0.17</f>
        <v>17</v>
      </c>
      <c r="G7" s="77">
        <f t="shared" ref="G7:G11" si="4">(P88+100)/2*0.17</f>
        <v>17</v>
      </c>
      <c r="H7" s="77">
        <f>F115*0.17</f>
        <v>17</v>
      </c>
      <c r="I7" s="77">
        <f t="shared" ref="I7:I29" si="5">E115*0.07</f>
        <v>7.0000000000000009</v>
      </c>
      <c r="J7" s="78">
        <f t="shared" ref="J7:J9" si="6">SUM(B7:I7)</f>
        <v>99.15</v>
      </c>
      <c r="K7" s="78">
        <f>F34*0.5+G157*0.5</f>
        <v>93.174999999999997</v>
      </c>
      <c r="L7" s="78">
        <f t="shared" si="0"/>
        <v>84.523809523809533</v>
      </c>
      <c r="M7" s="78">
        <v>91</v>
      </c>
      <c r="N7" s="79">
        <f t="shared" ref="N7:N29" si="7">AVERAGE(J7:M7)</f>
        <v>91.962202380952377</v>
      </c>
      <c r="P7" s="85">
        <v>3</v>
      </c>
      <c r="R7" s="12" t="s">
        <v>43</v>
      </c>
      <c r="S7" s="81">
        <f t="shared" ref="S7:S13" si="8">T7*100/$T$14</f>
        <v>6.666666666666667</v>
      </c>
      <c r="T7" s="83">
        <v>0.02</v>
      </c>
    </row>
    <row r="8" spans="1:20" x14ac:dyDescent="0.2">
      <c r="A8" s="86" t="s">
        <v>117</v>
      </c>
      <c r="B8" s="77">
        <f>100*0.065+100*0.065</f>
        <v>13</v>
      </c>
      <c r="C8" s="77">
        <f t="shared" si="1"/>
        <v>6</v>
      </c>
      <c r="D8" s="77">
        <f t="shared" si="1"/>
        <v>6</v>
      </c>
      <c r="E8" s="77">
        <f t="shared" si="2"/>
        <v>16.150000000000002</v>
      </c>
      <c r="F8" s="77">
        <f t="shared" si="3"/>
        <v>17</v>
      </c>
      <c r="G8" s="77">
        <f t="shared" si="4"/>
        <v>17</v>
      </c>
      <c r="H8" s="77">
        <f t="shared" ref="H8:H29" si="9">F116*0.17</f>
        <v>17</v>
      </c>
      <c r="I8" s="77">
        <f t="shared" si="5"/>
        <v>7.0000000000000009</v>
      </c>
      <c r="J8" s="78">
        <f t="shared" si="6"/>
        <v>99.15</v>
      </c>
      <c r="K8" s="78">
        <f>F35*0.5+G158*0.5</f>
        <v>94.4</v>
      </c>
      <c r="L8" s="78">
        <f t="shared" si="0"/>
        <v>84.523809523809533</v>
      </c>
      <c r="M8" s="78">
        <v>91</v>
      </c>
      <c r="N8" s="79">
        <f t="shared" si="7"/>
        <v>92.268452380952382</v>
      </c>
      <c r="P8" s="85">
        <v>3</v>
      </c>
      <c r="R8" s="12" t="s">
        <v>44</v>
      </c>
      <c r="S8" s="81">
        <f t="shared" si="8"/>
        <v>6.666666666666667</v>
      </c>
      <c r="T8" s="83">
        <v>0.02</v>
      </c>
    </row>
    <row r="9" spans="1:20" x14ac:dyDescent="0.2">
      <c r="A9" s="86" t="s">
        <v>118</v>
      </c>
      <c r="B9" s="77">
        <f>100*0.065+100*0.065</f>
        <v>13</v>
      </c>
      <c r="C9" s="77">
        <f t="shared" si="1"/>
        <v>6</v>
      </c>
      <c r="D9" s="77">
        <f t="shared" si="1"/>
        <v>6</v>
      </c>
      <c r="E9" s="77">
        <f t="shared" si="2"/>
        <v>16.150000000000002</v>
      </c>
      <c r="F9" s="77">
        <f t="shared" si="3"/>
        <v>17</v>
      </c>
      <c r="G9" s="77">
        <f t="shared" si="4"/>
        <v>17</v>
      </c>
      <c r="H9" s="77">
        <f t="shared" si="9"/>
        <v>17</v>
      </c>
      <c r="I9" s="77">
        <f t="shared" si="5"/>
        <v>7.0000000000000009</v>
      </c>
      <c r="J9" s="78">
        <f t="shared" si="6"/>
        <v>99.15</v>
      </c>
      <c r="K9" s="78">
        <f>F36*0.5+G150*0.5</f>
        <v>97.3</v>
      </c>
      <c r="L9" s="78">
        <f t="shared" si="0"/>
        <v>92.229166666666671</v>
      </c>
      <c r="M9" s="78">
        <v>89</v>
      </c>
      <c r="N9" s="79">
        <f t="shared" si="7"/>
        <v>94.419791666666669</v>
      </c>
      <c r="P9" s="85">
        <v>2</v>
      </c>
      <c r="R9" s="12" t="s">
        <v>144</v>
      </c>
      <c r="S9" s="81">
        <f t="shared" si="8"/>
        <v>16.666666666666668</v>
      </c>
      <c r="T9" s="83">
        <v>0.05</v>
      </c>
    </row>
    <row r="10" spans="1:20" x14ac:dyDescent="0.2">
      <c r="A10" s="86" t="s">
        <v>119</v>
      </c>
      <c r="B10" s="77">
        <f>80*0.065+100*0.065</f>
        <v>11.7</v>
      </c>
      <c r="C10" s="77">
        <f>80*0.06</f>
        <v>4.8</v>
      </c>
      <c r="D10" s="77">
        <f>80*0.06</f>
        <v>4.8</v>
      </c>
      <c r="E10" s="77">
        <f t="shared" si="2"/>
        <v>16.150000000000002</v>
      </c>
      <c r="F10" s="77">
        <f t="shared" si="3"/>
        <v>17</v>
      </c>
      <c r="G10" s="77">
        <f t="shared" si="4"/>
        <v>16.392857142857146</v>
      </c>
      <c r="H10" s="77">
        <f t="shared" si="9"/>
        <v>17</v>
      </c>
      <c r="I10" s="77">
        <f t="shared" si="5"/>
        <v>7.0000000000000009</v>
      </c>
      <c r="J10" s="78">
        <f t="shared" ref="J10:J29" si="10">SUM(B10:I10)</f>
        <v>94.842857142857156</v>
      </c>
      <c r="K10" s="78">
        <f t="shared" ref="K10" si="11">F37</f>
        <v>53.75</v>
      </c>
      <c r="L10" s="78">
        <f t="shared" si="0"/>
        <v>92.229166666666671</v>
      </c>
      <c r="M10" s="78">
        <v>89</v>
      </c>
      <c r="N10" s="79">
        <f t="shared" si="7"/>
        <v>82.45550595238096</v>
      </c>
      <c r="P10" s="85">
        <v>2</v>
      </c>
      <c r="R10" s="12" t="s">
        <v>100</v>
      </c>
      <c r="S10" s="81">
        <f t="shared" si="8"/>
        <v>16.666666666666668</v>
      </c>
      <c r="T10" s="83">
        <v>0.05</v>
      </c>
    </row>
    <row r="11" spans="1:20" x14ac:dyDescent="0.2">
      <c r="A11" s="86" t="s">
        <v>107</v>
      </c>
      <c r="B11" s="77">
        <f>100*0.065+100*0.065</f>
        <v>13</v>
      </c>
      <c r="C11" s="77">
        <f>100*0.06</f>
        <v>6</v>
      </c>
      <c r="D11" s="77">
        <f>100*0.06</f>
        <v>6</v>
      </c>
      <c r="E11" s="77">
        <f t="shared" si="2"/>
        <v>16.575000000000003</v>
      </c>
      <c r="F11" s="77">
        <f t="shared" si="3"/>
        <v>17</v>
      </c>
      <c r="G11" s="77">
        <f t="shared" si="4"/>
        <v>16.392857142857146</v>
      </c>
      <c r="H11" s="77">
        <f t="shared" si="9"/>
        <v>17</v>
      </c>
      <c r="I11" s="77">
        <f t="shared" si="5"/>
        <v>7.0000000000000009</v>
      </c>
      <c r="J11" s="78">
        <f t="shared" si="10"/>
        <v>98.967857142857156</v>
      </c>
      <c r="K11" s="78">
        <f>F38*0.5+G141*0.5</f>
        <v>100</v>
      </c>
      <c r="L11" s="78">
        <f t="shared" si="0"/>
        <v>86.904761904761912</v>
      </c>
      <c r="M11" s="78">
        <v>97</v>
      </c>
      <c r="N11" s="79">
        <f t="shared" si="7"/>
        <v>95.718154761904771</v>
      </c>
      <c r="P11" s="85">
        <v>1</v>
      </c>
      <c r="R11" s="12" t="s">
        <v>104</v>
      </c>
      <c r="S11" s="81">
        <f t="shared" si="8"/>
        <v>16.666666666666668</v>
      </c>
      <c r="T11" s="83">
        <v>0.05</v>
      </c>
    </row>
    <row r="12" spans="1:20" x14ac:dyDescent="0.2">
      <c r="A12" s="86" t="s">
        <v>135</v>
      </c>
      <c r="B12" s="77">
        <f>80*0.065</f>
        <v>5.2</v>
      </c>
      <c r="C12" s="77">
        <f>80*0.06</f>
        <v>4.8</v>
      </c>
      <c r="D12" s="77">
        <f>80*0.06</f>
        <v>4.8</v>
      </c>
      <c r="E12" s="77">
        <f t="shared" si="2"/>
        <v>17</v>
      </c>
      <c r="F12" s="77">
        <f t="shared" si="3"/>
        <v>17</v>
      </c>
      <c r="G12" s="77">
        <f>(P93+0)/2*0.17</f>
        <v>4.8571428571428568</v>
      </c>
      <c r="H12" s="77">
        <f t="shared" si="9"/>
        <v>17</v>
      </c>
      <c r="I12" s="77">
        <f t="shared" si="5"/>
        <v>0</v>
      </c>
      <c r="J12" s="78">
        <f t="shared" si="10"/>
        <v>70.657142857142844</v>
      </c>
      <c r="K12" s="78">
        <f>F39*0.5+G165*0.5</f>
        <v>70.400000000000006</v>
      </c>
      <c r="L12" s="78">
        <f t="shared" si="0"/>
        <v>98.458333333333343</v>
      </c>
      <c r="M12" s="78">
        <v>94</v>
      </c>
      <c r="N12" s="79">
        <f t="shared" si="7"/>
        <v>83.378869047619048</v>
      </c>
      <c r="P12" s="85">
        <v>4</v>
      </c>
      <c r="R12" s="12" t="s">
        <v>101</v>
      </c>
      <c r="S12" s="81">
        <f t="shared" si="8"/>
        <v>16.666666666666668</v>
      </c>
      <c r="T12" s="83">
        <v>0.05</v>
      </c>
    </row>
    <row r="13" spans="1:20" x14ac:dyDescent="0.2">
      <c r="A13" s="86" t="s">
        <v>120</v>
      </c>
      <c r="B13" s="77">
        <f>100*0.065+100*0.065</f>
        <v>13</v>
      </c>
      <c r="C13" s="77">
        <f>100*0.06</f>
        <v>6</v>
      </c>
      <c r="D13" s="77">
        <f>100*0.06</f>
        <v>6</v>
      </c>
      <c r="E13" s="77">
        <f t="shared" si="2"/>
        <v>16.575000000000003</v>
      </c>
      <c r="F13" s="77">
        <f t="shared" si="3"/>
        <v>17</v>
      </c>
      <c r="G13" s="77">
        <f>(P94+100)/2*0.17</f>
        <v>16.392857142857146</v>
      </c>
      <c r="H13" s="77">
        <f t="shared" si="9"/>
        <v>17</v>
      </c>
      <c r="I13" s="77">
        <f t="shared" si="5"/>
        <v>7.0000000000000009</v>
      </c>
      <c r="J13" s="78">
        <f>SUM(B13:I13)</f>
        <v>98.967857142857156</v>
      </c>
      <c r="K13" s="78">
        <f>F40*0.5+G142*0.5</f>
        <v>99.3</v>
      </c>
      <c r="L13" s="78">
        <f t="shared" si="0"/>
        <v>86.904761904761912</v>
      </c>
      <c r="M13" s="78">
        <v>97</v>
      </c>
      <c r="N13" s="79">
        <f t="shared" si="7"/>
        <v>95.543154761904773</v>
      </c>
      <c r="P13" s="85">
        <v>1</v>
      </c>
      <c r="R13" s="12" t="s">
        <v>102</v>
      </c>
      <c r="S13" s="81">
        <f t="shared" si="8"/>
        <v>6.666666666666667</v>
      </c>
      <c r="T13" s="83">
        <v>0.02</v>
      </c>
    </row>
    <row r="14" spans="1:20" x14ac:dyDescent="0.2">
      <c r="A14" s="86" t="s">
        <v>109</v>
      </c>
      <c r="B14" s="77">
        <f>80*0.065+100*0.065</f>
        <v>11.7</v>
      </c>
      <c r="C14" s="77">
        <f>80*0.06</f>
        <v>4.8</v>
      </c>
      <c r="D14" s="77">
        <f>80*0.06</f>
        <v>4.8</v>
      </c>
      <c r="E14" s="77">
        <f t="shared" si="2"/>
        <v>17</v>
      </c>
      <c r="F14" s="77">
        <f t="shared" si="3"/>
        <v>17</v>
      </c>
      <c r="G14" s="77">
        <f t="shared" ref="G14:G29" si="12">(P95+100)/2*0.17</f>
        <v>13.964285714285715</v>
      </c>
      <c r="H14" s="77">
        <f t="shared" si="9"/>
        <v>17</v>
      </c>
      <c r="I14" s="77">
        <f t="shared" si="5"/>
        <v>7.0000000000000009</v>
      </c>
      <c r="J14" s="78">
        <f t="shared" si="10"/>
        <v>93.264285714285705</v>
      </c>
      <c r="K14" s="78">
        <f>F41*0.5+G166*0.5</f>
        <v>78.2</v>
      </c>
      <c r="L14" s="78">
        <f t="shared" si="0"/>
        <v>98.458333333333343</v>
      </c>
      <c r="M14" s="78">
        <v>94</v>
      </c>
      <c r="N14" s="79">
        <f t="shared" si="7"/>
        <v>90.980654761904759</v>
      </c>
      <c r="P14" s="85">
        <v>4</v>
      </c>
      <c r="R14" s="13" t="s">
        <v>22</v>
      </c>
      <c r="S14" s="14">
        <f>SUM(S6:S13)</f>
        <v>100.00000000000001</v>
      </c>
      <c r="T14" s="84">
        <f>SUM(T6:T13)</f>
        <v>0.3</v>
      </c>
    </row>
    <row r="15" spans="1:20" x14ac:dyDescent="0.2">
      <c r="A15" s="86" t="s">
        <v>121</v>
      </c>
      <c r="B15" s="77">
        <f t="shared" ref="B15:B21" si="13">100*0.065+100*0.065</f>
        <v>13</v>
      </c>
      <c r="C15" s="77">
        <f>100*0.06</f>
        <v>6</v>
      </c>
      <c r="D15" s="77">
        <f>100*0.06</f>
        <v>6</v>
      </c>
      <c r="E15" s="77">
        <f t="shared" si="2"/>
        <v>17</v>
      </c>
      <c r="F15" s="77">
        <f t="shared" si="3"/>
        <v>17</v>
      </c>
      <c r="G15" s="77">
        <f t="shared" si="12"/>
        <v>17</v>
      </c>
      <c r="H15" s="77">
        <f t="shared" si="9"/>
        <v>17</v>
      </c>
      <c r="I15" s="77">
        <f t="shared" si="5"/>
        <v>7.0000000000000009</v>
      </c>
      <c r="J15" s="78">
        <f t="shared" si="10"/>
        <v>100</v>
      </c>
      <c r="K15" s="78">
        <f>F42*0.5+G167*0.5</f>
        <v>87.8</v>
      </c>
      <c r="L15" s="78">
        <f t="shared" si="0"/>
        <v>98.458333333333343</v>
      </c>
      <c r="M15" s="78">
        <v>94</v>
      </c>
      <c r="N15" s="79">
        <f t="shared" si="7"/>
        <v>95.064583333333331</v>
      </c>
      <c r="P15" s="85">
        <v>4</v>
      </c>
    </row>
    <row r="16" spans="1:20" x14ac:dyDescent="0.2">
      <c r="A16" s="86" t="s">
        <v>122</v>
      </c>
      <c r="B16" s="77">
        <f t="shared" si="13"/>
        <v>13</v>
      </c>
      <c r="C16" s="77">
        <f t="shared" ref="C16:D28" si="14">100*0.06</f>
        <v>6</v>
      </c>
      <c r="D16" s="77">
        <f t="shared" si="14"/>
        <v>6</v>
      </c>
      <c r="E16" s="77">
        <f t="shared" si="2"/>
        <v>16.150000000000002</v>
      </c>
      <c r="F16" s="77">
        <f t="shared" si="3"/>
        <v>17</v>
      </c>
      <c r="G16" s="77">
        <f t="shared" si="12"/>
        <v>15.785714285714288</v>
      </c>
      <c r="H16" s="77">
        <f t="shared" si="9"/>
        <v>17</v>
      </c>
      <c r="I16" s="77">
        <f t="shared" si="5"/>
        <v>7.0000000000000009</v>
      </c>
      <c r="J16" s="78">
        <f t="shared" si="10"/>
        <v>97.935714285714297</v>
      </c>
      <c r="K16" s="78">
        <f>F43*0.5+G159*0.5</f>
        <v>96.6</v>
      </c>
      <c r="L16" s="78">
        <f t="shared" si="0"/>
        <v>84.523809523809533</v>
      </c>
      <c r="M16" s="78">
        <v>91</v>
      </c>
      <c r="N16" s="79">
        <f t="shared" si="7"/>
        <v>92.514880952380949</v>
      </c>
      <c r="P16" s="85">
        <v>3</v>
      </c>
    </row>
    <row r="17" spans="1:16" x14ac:dyDescent="0.2">
      <c r="A17" s="86" t="s">
        <v>123</v>
      </c>
      <c r="B17" s="77">
        <f t="shared" si="13"/>
        <v>13</v>
      </c>
      <c r="C17" s="77">
        <f t="shared" si="14"/>
        <v>6</v>
      </c>
      <c r="D17" s="77">
        <f t="shared" si="14"/>
        <v>6</v>
      </c>
      <c r="E17" s="77">
        <f t="shared" si="2"/>
        <v>15.725000000000001</v>
      </c>
      <c r="F17" s="77">
        <f t="shared" si="3"/>
        <v>17</v>
      </c>
      <c r="G17" s="77">
        <f t="shared" si="12"/>
        <v>16.392857142857146</v>
      </c>
      <c r="H17" s="77">
        <f t="shared" si="9"/>
        <v>17</v>
      </c>
      <c r="I17" s="77">
        <f t="shared" si="5"/>
        <v>7.0000000000000009</v>
      </c>
      <c r="J17" s="78">
        <f t="shared" si="10"/>
        <v>98.117857142857147</v>
      </c>
      <c r="K17" s="78">
        <f>F44*0.5+F173*0.5</f>
        <v>99.125</v>
      </c>
      <c r="L17" s="78">
        <f t="shared" si="0"/>
        <v>83.928571428571431</v>
      </c>
      <c r="M17" s="78">
        <v>94</v>
      </c>
      <c r="N17" s="79">
        <f t="shared" si="7"/>
        <v>93.792857142857144</v>
      </c>
      <c r="P17" s="85">
        <v>5</v>
      </c>
    </row>
    <row r="18" spans="1:16" x14ac:dyDescent="0.2">
      <c r="A18" s="86" t="s">
        <v>124</v>
      </c>
      <c r="B18" s="77">
        <f t="shared" si="13"/>
        <v>13</v>
      </c>
      <c r="C18" s="77">
        <f t="shared" si="14"/>
        <v>6</v>
      </c>
      <c r="D18" s="77">
        <f t="shared" si="14"/>
        <v>6</v>
      </c>
      <c r="E18" s="77">
        <f t="shared" si="2"/>
        <v>15.725000000000001</v>
      </c>
      <c r="F18" s="77">
        <f t="shared" si="3"/>
        <v>17</v>
      </c>
      <c r="G18" s="77">
        <f t="shared" si="12"/>
        <v>15.785714285714288</v>
      </c>
      <c r="H18" s="77">
        <f t="shared" si="9"/>
        <v>17</v>
      </c>
      <c r="I18" s="77">
        <f t="shared" si="5"/>
        <v>7.0000000000000009</v>
      </c>
      <c r="J18" s="78">
        <f t="shared" si="10"/>
        <v>97.510714285714286</v>
      </c>
      <c r="K18" s="78">
        <f>F45*0.5+F174*0.5</f>
        <v>95.625</v>
      </c>
      <c r="L18" s="78">
        <f t="shared" si="0"/>
        <v>83.928571428571431</v>
      </c>
      <c r="M18" s="78">
        <v>94</v>
      </c>
      <c r="N18" s="79">
        <f t="shared" si="7"/>
        <v>92.766071428571436</v>
      </c>
      <c r="P18" s="85">
        <v>5</v>
      </c>
    </row>
    <row r="19" spans="1:16" x14ac:dyDescent="0.2">
      <c r="A19" s="86" t="s">
        <v>110</v>
      </c>
      <c r="B19" s="77">
        <f t="shared" si="13"/>
        <v>13</v>
      </c>
      <c r="C19" s="77">
        <f t="shared" si="14"/>
        <v>6</v>
      </c>
      <c r="D19" s="77">
        <f t="shared" si="14"/>
        <v>6</v>
      </c>
      <c r="E19" s="77">
        <f t="shared" si="2"/>
        <v>16.150000000000002</v>
      </c>
      <c r="F19" s="77">
        <f t="shared" si="3"/>
        <v>17</v>
      </c>
      <c r="G19" s="77">
        <f t="shared" si="12"/>
        <v>17</v>
      </c>
      <c r="H19" s="77">
        <f t="shared" si="9"/>
        <v>17</v>
      </c>
      <c r="I19" s="77">
        <f t="shared" si="5"/>
        <v>7.0000000000000009</v>
      </c>
      <c r="J19" s="78">
        <f t="shared" si="10"/>
        <v>99.15</v>
      </c>
      <c r="K19" s="78">
        <f>F46*0.5+G152*0.5</f>
        <v>97.1</v>
      </c>
      <c r="L19" s="78">
        <f t="shared" si="0"/>
        <v>92.229166666666671</v>
      </c>
      <c r="M19" s="78">
        <v>89</v>
      </c>
      <c r="N19" s="79">
        <f t="shared" si="7"/>
        <v>94.369791666666671</v>
      </c>
      <c r="P19" s="85">
        <v>2</v>
      </c>
    </row>
    <row r="20" spans="1:16" x14ac:dyDescent="0.2">
      <c r="A20" s="86" t="s">
        <v>125</v>
      </c>
      <c r="B20" s="77">
        <f t="shared" si="13"/>
        <v>13</v>
      </c>
      <c r="C20" s="77">
        <f t="shared" si="14"/>
        <v>6</v>
      </c>
      <c r="D20" s="77">
        <f t="shared" si="14"/>
        <v>6</v>
      </c>
      <c r="E20" s="77">
        <f t="shared" si="2"/>
        <v>16.575000000000003</v>
      </c>
      <c r="F20" s="77">
        <f t="shared" si="3"/>
        <v>17</v>
      </c>
      <c r="G20" s="77">
        <f t="shared" si="12"/>
        <v>16.392857142857146</v>
      </c>
      <c r="H20" s="77">
        <f t="shared" si="9"/>
        <v>17</v>
      </c>
      <c r="I20" s="77">
        <f t="shared" si="5"/>
        <v>7.0000000000000009</v>
      </c>
      <c r="J20" s="78">
        <f t="shared" si="10"/>
        <v>98.967857142857156</v>
      </c>
      <c r="K20" s="78">
        <f>F47*0.5+G143*0.5</f>
        <v>99.6</v>
      </c>
      <c r="L20" s="78">
        <f t="shared" si="0"/>
        <v>86.904761904761912</v>
      </c>
      <c r="M20" s="78">
        <v>97</v>
      </c>
      <c r="N20" s="79">
        <f t="shared" si="7"/>
        <v>95.618154761904762</v>
      </c>
      <c r="P20" s="85">
        <v>1</v>
      </c>
    </row>
    <row r="21" spans="1:16" x14ac:dyDescent="0.2">
      <c r="A21" s="86" t="s">
        <v>111</v>
      </c>
      <c r="B21" s="77">
        <f t="shared" si="13"/>
        <v>13</v>
      </c>
      <c r="C21" s="77">
        <f t="shared" si="14"/>
        <v>6</v>
      </c>
      <c r="D21" s="77">
        <f t="shared" si="14"/>
        <v>6</v>
      </c>
      <c r="E21" s="77">
        <f t="shared" si="2"/>
        <v>16.575000000000003</v>
      </c>
      <c r="F21" s="77">
        <f t="shared" si="3"/>
        <v>17</v>
      </c>
      <c r="G21" s="77">
        <f t="shared" si="12"/>
        <v>16.392857142857146</v>
      </c>
      <c r="H21" s="77">
        <f t="shared" si="9"/>
        <v>17</v>
      </c>
      <c r="I21" s="77">
        <f t="shared" si="5"/>
        <v>7.0000000000000009</v>
      </c>
      <c r="J21" s="78">
        <f t="shared" si="10"/>
        <v>98.967857142857156</v>
      </c>
      <c r="K21" s="78">
        <f>F48*0.5+G144*0.5</f>
        <v>98.5</v>
      </c>
      <c r="L21" s="78">
        <f t="shared" si="0"/>
        <v>86.904761904761912</v>
      </c>
      <c r="M21" s="78">
        <v>97</v>
      </c>
      <c r="N21" s="79">
        <f t="shared" si="7"/>
        <v>95.343154761904771</v>
      </c>
      <c r="P21" s="85">
        <v>1</v>
      </c>
    </row>
    <row r="22" spans="1:16" x14ac:dyDescent="0.2">
      <c r="A22" s="86" t="s">
        <v>126</v>
      </c>
      <c r="B22" s="77">
        <f t="shared" ref="B22:B27" si="15">100*0.065+100*0.065</f>
        <v>13</v>
      </c>
      <c r="C22" s="77">
        <f t="shared" si="14"/>
        <v>6</v>
      </c>
      <c r="D22" s="77">
        <f t="shared" si="14"/>
        <v>6</v>
      </c>
      <c r="E22" s="77">
        <f t="shared" si="2"/>
        <v>16.150000000000002</v>
      </c>
      <c r="F22" s="77">
        <f t="shared" si="3"/>
        <v>17</v>
      </c>
      <c r="G22" s="77">
        <f t="shared" si="12"/>
        <v>17</v>
      </c>
      <c r="H22" s="77">
        <f t="shared" si="9"/>
        <v>17</v>
      </c>
      <c r="I22" s="77">
        <f t="shared" si="5"/>
        <v>7.0000000000000009</v>
      </c>
      <c r="J22" s="78">
        <f t="shared" si="10"/>
        <v>99.15</v>
      </c>
      <c r="K22" s="78">
        <f>F49*0.5+G160*0.5</f>
        <v>97</v>
      </c>
      <c r="L22" s="78">
        <f t="shared" si="0"/>
        <v>84.523809523809533</v>
      </c>
      <c r="M22" s="78">
        <v>91</v>
      </c>
      <c r="N22" s="79">
        <f t="shared" si="7"/>
        <v>92.918452380952388</v>
      </c>
      <c r="P22" s="85">
        <v>3</v>
      </c>
    </row>
    <row r="23" spans="1:16" x14ac:dyDescent="0.2">
      <c r="A23" s="86" t="s">
        <v>112</v>
      </c>
      <c r="B23" s="77">
        <f t="shared" si="15"/>
        <v>13</v>
      </c>
      <c r="C23" s="77">
        <f t="shared" si="14"/>
        <v>6</v>
      </c>
      <c r="D23" s="77">
        <f t="shared" si="14"/>
        <v>6</v>
      </c>
      <c r="E23" s="77">
        <f t="shared" si="2"/>
        <v>16.575000000000003</v>
      </c>
      <c r="F23" s="77">
        <f t="shared" si="3"/>
        <v>17</v>
      </c>
      <c r="G23" s="77">
        <f t="shared" si="12"/>
        <v>16.392857142857146</v>
      </c>
      <c r="H23" s="77">
        <f t="shared" si="9"/>
        <v>17</v>
      </c>
      <c r="I23" s="77">
        <f t="shared" si="5"/>
        <v>7.0000000000000009</v>
      </c>
      <c r="J23" s="78">
        <f t="shared" si="10"/>
        <v>98.967857142857156</v>
      </c>
      <c r="K23" s="78">
        <f>F50*0.5+G145*0.5</f>
        <v>98.9</v>
      </c>
      <c r="L23" s="78">
        <f t="shared" si="0"/>
        <v>86.904761904761912</v>
      </c>
      <c r="M23" s="78">
        <v>97</v>
      </c>
      <c r="N23" s="79">
        <f t="shared" si="7"/>
        <v>95.443154761904765</v>
      </c>
      <c r="P23" s="85">
        <v>1</v>
      </c>
    </row>
    <row r="24" spans="1:16" x14ac:dyDescent="0.2">
      <c r="A24" s="86" t="s">
        <v>127</v>
      </c>
      <c r="B24" s="77">
        <f t="shared" si="15"/>
        <v>13</v>
      </c>
      <c r="C24" s="77">
        <f t="shared" si="14"/>
        <v>6</v>
      </c>
      <c r="D24" s="77">
        <f t="shared" si="14"/>
        <v>6</v>
      </c>
      <c r="E24" s="77">
        <f t="shared" si="2"/>
        <v>17</v>
      </c>
      <c r="F24" s="77">
        <f t="shared" si="3"/>
        <v>17</v>
      </c>
      <c r="G24" s="77">
        <f t="shared" si="12"/>
        <v>17</v>
      </c>
      <c r="H24" s="77">
        <f t="shared" si="9"/>
        <v>17</v>
      </c>
      <c r="I24" s="77">
        <f t="shared" si="5"/>
        <v>7.0000000000000009</v>
      </c>
      <c r="J24" s="78">
        <f t="shared" si="10"/>
        <v>100</v>
      </c>
      <c r="K24" s="78">
        <f>F51*0.5+G168*0.5</f>
        <v>89.6</v>
      </c>
      <c r="L24" s="78">
        <f t="shared" si="0"/>
        <v>98.458333333333343</v>
      </c>
      <c r="M24" s="78">
        <v>94</v>
      </c>
      <c r="N24" s="79">
        <f t="shared" si="7"/>
        <v>95.514583333333334</v>
      </c>
      <c r="P24" s="85">
        <v>4</v>
      </c>
    </row>
    <row r="25" spans="1:16" x14ac:dyDescent="0.2">
      <c r="A25" s="86" t="s">
        <v>128</v>
      </c>
      <c r="B25" s="77">
        <f t="shared" si="15"/>
        <v>13</v>
      </c>
      <c r="C25" s="77">
        <f t="shared" si="14"/>
        <v>6</v>
      </c>
      <c r="D25" s="77">
        <f t="shared" si="14"/>
        <v>6</v>
      </c>
      <c r="E25" s="77">
        <f t="shared" si="2"/>
        <v>17</v>
      </c>
      <c r="F25" s="77">
        <f t="shared" si="3"/>
        <v>17</v>
      </c>
      <c r="G25" s="77">
        <f t="shared" si="12"/>
        <v>17</v>
      </c>
      <c r="H25" s="77">
        <f t="shared" si="9"/>
        <v>17</v>
      </c>
      <c r="I25" s="77">
        <f t="shared" si="5"/>
        <v>7.0000000000000009</v>
      </c>
      <c r="J25" s="78">
        <f t="shared" si="10"/>
        <v>100</v>
      </c>
      <c r="K25" s="78">
        <f>F52*0.5+G169*0.5</f>
        <v>87.8</v>
      </c>
      <c r="L25" s="78">
        <f t="shared" si="0"/>
        <v>98.458333333333343</v>
      </c>
      <c r="M25" s="78">
        <v>94</v>
      </c>
      <c r="N25" s="79">
        <f t="shared" si="7"/>
        <v>95.064583333333331</v>
      </c>
      <c r="P25" s="85">
        <v>4</v>
      </c>
    </row>
    <row r="26" spans="1:16" x14ac:dyDescent="0.2">
      <c r="A26" s="86" t="s">
        <v>113</v>
      </c>
      <c r="B26" s="77">
        <f t="shared" si="15"/>
        <v>13</v>
      </c>
      <c r="C26" s="77">
        <f t="shared" si="14"/>
        <v>6</v>
      </c>
      <c r="D26" s="77">
        <f t="shared" si="14"/>
        <v>6</v>
      </c>
      <c r="E26" s="77">
        <f t="shared" si="2"/>
        <v>15.725000000000001</v>
      </c>
      <c r="F26" s="77">
        <f t="shared" si="3"/>
        <v>17</v>
      </c>
      <c r="G26" s="77">
        <f t="shared" si="12"/>
        <v>15.785714285714288</v>
      </c>
      <c r="H26" s="77">
        <f t="shared" si="9"/>
        <v>17</v>
      </c>
      <c r="I26" s="77">
        <f t="shared" si="5"/>
        <v>7.0000000000000009</v>
      </c>
      <c r="J26" s="78">
        <f t="shared" si="10"/>
        <v>97.510714285714286</v>
      </c>
      <c r="K26" s="78">
        <f>F53*0.5+F175*0.5</f>
        <v>99.125</v>
      </c>
      <c r="L26" s="78">
        <f t="shared" si="0"/>
        <v>83.928571428571431</v>
      </c>
      <c r="M26" s="78">
        <v>94</v>
      </c>
      <c r="N26" s="79">
        <f t="shared" si="7"/>
        <v>93.641071428571436</v>
      </c>
      <c r="P26" s="85">
        <v>5</v>
      </c>
    </row>
    <row r="27" spans="1:16" x14ac:dyDescent="0.2">
      <c r="A27" s="86" t="s">
        <v>114</v>
      </c>
      <c r="B27" s="77">
        <f t="shared" si="15"/>
        <v>13</v>
      </c>
      <c r="C27" s="77">
        <f t="shared" si="14"/>
        <v>6</v>
      </c>
      <c r="D27" s="77">
        <f t="shared" si="14"/>
        <v>6</v>
      </c>
      <c r="E27" s="77">
        <f t="shared" si="2"/>
        <v>16.150000000000002</v>
      </c>
      <c r="F27" s="77">
        <f t="shared" si="3"/>
        <v>17</v>
      </c>
      <c r="G27" s="77">
        <f t="shared" si="12"/>
        <v>17</v>
      </c>
      <c r="H27" s="77">
        <f t="shared" si="9"/>
        <v>17</v>
      </c>
      <c r="I27" s="77">
        <f t="shared" si="5"/>
        <v>7.0000000000000009</v>
      </c>
      <c r="J27" s="78">
        <f t="shared" si="10"/>
        <v>99.15</v>
      </c>
      <c r="K27" s="78">
        <f>F54*0.5+G153*0.5</f>
        <v>97</v>
      </c>
      <c r="L27" s="78">
        <f t="shared" si="0"/>
        <v>92.229166666666671</v>
      </c>
      <c r="M27" s="78">
        <v>89</v>
      </c>
      <c r="N27" s="79">
        <f t="shared" si="7"/>
        <v>94.344791666666666</v>
      </c>
      <c r="P27" s="85">
        <v>2</v>
      </c>
    </row>
    <row r="28" spans="1:16" x14ac:dyDescent="0.2">
      <c r="A28" s="86" t="s">
        <v>106</v>
      </c>
      <c r="B28" s="77">
        <f>100*0.065+100*0.065</f>
        <v>13</v>
      </c>
      <c r="C28" s="77">
        <f t="shared" si="14"/>
        <v>6</v>
      </c>
      <c r="D28" s="77">
        <f t="shared" si="14"/>
        <v>6</v>
      </c>
      <c r="E28" s="77">
        <f t="shared" si="2"/>
        <v>16.150000000000002</v>
      </c>
      <c r="F28" s="77">
        <f t="shared" si="3"/>
        <v>17</v>
      </c>
      <c r="G28" s="77">
        <f t="shared" si="12"/>
        <v>17</v>
      </c>
      <c r="H28" s="77">
        <f t="shared" si="9"/>
        <v>17</v>
      </c>
      <c r="I28" s="77">
        <f t="shared" si="5"/>
        <v>7.0000000000000009</v>
      </c>
      <c r="J28" s="78">
        <f t="shared" si="10"/>
        <v>99.15</v>
      </c>
      <c r="K28" s="78">
        <f>F55*0.5+G161*0.5</f>
        <v>97</v>
      </c>
      <c r="L28" s="78">
        <f t="shared" si="0"/>
        <v>84.523809523809533</v>
      </c>
      <c r="M28" s="78">
        <v>91</v>
      </c>
      <c r="N28" s="79">
        <f t="shared" si="7"/>
        <v>92.918452380952388</v>
      </c>
      <c r="P28" s="85">
        <v>3</v>
      </c>
    </row>
    <row r="29" spans="1:16" x14ac:dyDescent="0.2">
      <c r="A29" s="86" t="s">
        <v>108</v>
      </c>
      <c r="B29" s="77">
        <f>80*0.065+100*0.065</f>
        <v>11.7</v>
      </c>
      <c r="C29" s="77">
        <f>80*0.06</f>
        <v>4.8</v>
      </c>
      <c r="D29" s="77">
        <f>80*0.06</f>
        <v>4.8</v>
      </c>
      <c r="E29" s="77">
        <f t="shared" si="2"/>
        <v>15.725000000000001</v>
      </c>
      <c r="F29" s="77">
        <f t="shared" si="3"/>
        <v>17</v>
      </c>
      <c r="G29" s="77">
        <f t="shared" si="12"/>
        <v>15.178571428571429</v>
      </c>
      <c r="H29" s="77">
        <f t="shared" si="9"/>
        <v>17</v>
      </c>
      <c r="I29" s="77">
        <f t="shared" si="5"/>
        <v>7.0000000000000009</v>
      </c>
      <c r="J29" s="78">
        <f t="shared" si="10"/>
        <v>93.203571428571436</v>
      </c>
      <c r="K29" s="78">
        <f>F56*0.5+F176*0.5</f>
        <v>97.75</v>
      </c>
      <c r="L29" s="78">
        <f t="shared" si="0"/>
        <v>83.928571428571431</v>
      </c>
      <c r="M29" s="78">
        <v>94</v>
      </c>
      <c r="N29" s="79">
        <f t="shared" si="7"/>
        <v>92.220535714285717</v>
      </c>
      <c r="P29" s="85">
        <v>5</v>
      </c>
    </row>
    <row r="31" spans="1:16" x14ac:dyDescent="0.2">
      <c r="A31" s="116" t="s">
        <v>84</v>
      </c>
      <c r="B31" s="116"/>
      <c r="C31" s="116"/>
      <c r="D31" s="116"/>
      <c r="E31" s="103"/>
      <c r="F31" s="103"/>
    </row>
    <row r="32" spans="1:16" x14ac:dyDescent="0.2">
      <c r="A32" s="3" t="s">
        <v>1</v>
      </c>
      <c r="B32" s="104" t="s">
        <v>94</v>
      </c>
      <c r="C32" s="105" t="s">
        <v>95</v>
      </c>
      <c r="D32" s="104" t="s">
        <v>145</v>
      </c>
      <c r="E32" s="105" t="s">
        <v>146</v>
      </c>
      <c r="F32" s="105" t="s">
        <v>47</v>
      </c>
    </row>
    <row r="33" spans="1:12" x14ac:dyDescent="0.2">
      <c r="A33" s="86" t="s">
        <v>115</v>
      </c>
      <c r="B33" s="77">
        <v>100</v>
      </c>
      <c r="C33" s="80">
        <v>100</v>
      </c>
      <c r="D33" s="77">
        <v>100</v>
      </c>
      <c r="E33" s="80">
        <v>100</v>
      </c>
      <c r="F33" s="106">
        <f>AVERAGE(B33:E33)</f>
        <v>100</v>
      </c>
      <c r="H33" s="85">
        <v>2</v>
      </c>
      <c r="I33" s="41"/>
      <c r="J33" s="41"/>
      <c r="K33" s="41"/>
      <c r="L33" s="41"/>
    </row>
    <row r="34" spans="1:12" x14ac:dyDescent="0.2">
      <c r="A34" s="86" t="s">
        <v>116</v>
      </c>
      <c r="B34" s="77">
        <v>100</v>
      </c>
      <c r="C34" s="80">
        <v>100</v>
      </c>
      <c r="D34" s="77">
        <f>17/20*100</f>
        <v>85</v>
      </c>
      <c r="E34" s="80">
        <f>18/20*100</f>
        <v>90</v>
      </c>
      <c r="F34" s="106">
        <f t="shared" ref="F34:F56" si="16">AVERAGE(B34:E34)</f>
        <v>93.75</v>
      </c>
      <c r="H34" s="85">
        <v>3</v>
      </c>
      <c r="I34" s="41"/>
      <c r="J34" s="41"/>
      <c r="K34" s="41"/>
      <c r="L34" s="41"/>
    </row>
    <row r="35" spans="1:12" x14ac:dyDescent="0.2">
      <c r="A35" s="86" t="s">
        <v>117</v>
      </c>
      <c r="B35" s="77">
        <v>100</v>
      </c>
      <c r="C35" s="80">
        <v>100</v>
      </c>
      <c r="D35" s="77">
        <v>100</v>
      </c>
      <c r="E35" s="80">
        <v>100</v>
      </c>
      <c r="F35" s="106">
        <f t="shared" si="16"/>
        <v>100</v>
      </c>
      <c r="H35" s="85">
        <v>3</v>
      </c>
      <c r="I35" s="41"/>
      <c r="J35" s="41"/>
      <c r="K35" s="41"/>
      <c r="L35" s="41"/>
    </row>
    <row r="36" spans="1:12" x14ac:dyDescent="0.2">
      <c r="A36" s="86" t="s">
        <v>118</v>
      </c>
      <c r="B36" s="77">
        <v>100</v>
      </c>
      <c r="C36" s="80">
        <v>100</v>
      </c>
      <c r="D36" s="77">
        <v>100</v>
      </c>
      <c r="E36" s="80">
        <v>100</v>
      </c>
      <c r="F36" s="106">
        <f t="shared" si="16"/>
        <v>100</v>
      </c>
      <c r="H36" s="85">
        <v>2</v>
      </c>
      <c r="I36" s="41"/>
      <c r="J36" s="41"/>
      <c r="K36" s="41"/>
      <c r="L36" s="41"/>
    </row>
    <row r="37" spans="1:12" x14ac:dyDescent="0.2">
      <c r="A37" s="86" t="s">
        <v>119</v>
      </c>
      <c r="B37" s="77">
        <f>13/20*100</f>
        <v>65</v>
      </c>
      <c r="C37" s="80">
        <f>10/20*100</f>
        <v>50</v>
      </c>
      <c r="D37" s="77">
        <v>100</v>
      </c>
      <c r="E37" s="80">
        <v>0</v>
      </c>
      <c r="F37" s="106">
        <f t="shared" si="16"/>
        <v>53.75</v>
      </c>
      <c r="H37" s="85">
        <v>2</v>
      </c>
      <c r="I37" s="41"/>
      <c r="J37" s="41"/>
      <c r="K37" s="41"/>
      <c r="L37" s="41"/>
    </row>
    <row r="38" spans="1:12" x14ac:dyDescent="0.2">
      <c r="A38" s="86" t="s">
        <v>107</v>
      </c>
      <c r="B38" s="77">
        <v>100</v>
      </c>
      <c r="C38" s="80">
        <v>100</v>
      </c>
      <c r="D38" s="77">
        <v>100</v>
      </c>
      <c r="E38" s="80">
        <v>100</v>
      </c>
      <c r="F38" s="106">
        <f t="shared" si="16"/>
        <v>100</v>
      </c>
      <c r="H38" s="85">
        <v>1</v>
      </c>
      <c r="I38" s="41"/>
      <c r="J38" s="41"/>
      <c r="K38" s="41"/>
      <c r="L38" s="41"/>
    </row>
    <row r="39" spans="1:12" x14ac:dyDescent="0.2">
      <c r="A39" s="86" t="s">
        <v>135</v>
      </c>
      <c r="B39" s="77">
        <v>100</v>
      </c>
      <c r="C39" s="80">
        <v>100</v>
      </c>
      <c r="D39" s="77">
        <v>100</v>
      </c>
      <c r="E39" s="80">
        <v>100</v>
      </c>
      <c r="F39" s="106">
        <f t="shared" si="16"/>
        <v>100</v>
      </c>
      <c r="H39" s="85">
        <v>4</v>
      </c>
      <c r="I39" s="41"/>
      <c r="J39" s="41"/>
      <c r="K39" s="41"/>
      <c r="L39" s="41"/>
    </row>
    <row r="40" spans="1:12" x14ac:dyDescent="0.2">
      <c r="A40" s="86" t="s">
        <v>120</v>
      </c>
      <c r="B40" s="77">
        <v>100</v>
      </c>
      <c r="C40" s="80">
        <v>100</v>
      </c>
      <c r="D40" s="77">
        <v>100</v>
      </c>
      <c r="E40" s="80">
        <v>100</v>
      </c>
      <c r="F40" s="106">
        <f t="shared" si="16"/>
        <v>100</v>
      </c>
      <c r="H40" s="85">
        <v>1</v>
      </c>
      <c r="I40" s="41"/>
      <c r="J40" s="41"/>
      <c r="K40" s="41"/>
      <c r="L40" s="41"/>
    </row>
    <row r="41" spans="1:12" x14ac:dyDescent="0.2">
      <c r="A41" s="86" t="s">
        <v>109</v>
      </c>
      <c r="B41" s="77">
        <v>100</v>
      </c>
      <c r="C41" s="80">
        <v>100</v>
      </c>
      <c r="D41" s="77">
        <v>100</v>
      </c>
      <c r="E41" s="80">
        <v>100</v>
      </c>
      <c r="F41" s="106">
        <f t="shared" si="16"/>
        <v>100</v>
      </c>
      <c r="H41" s="85">
        <v>4</v>
      </c>
      <c r="I41" s="41"/>
      <c r="J41" s="41"/>
      <c r="K41" s="41"/>
      <c r="L41" s="41"/>
    </row>
    <row r="42" spans="1:12" x14ac:dyDescent="0.2">
      <c r="A42" s="86" t="s">
        <v>121</v>
      </c>
      <c r="B42" s="77">
        <v>100</v>
      </c>
      <c r="C42" s="80">
        <v>100</v>
      </c>
      <c r="D42" s="77">
        <v>100</v>
      </c>
      <c r="E42" s="80">
        <v>100</v>
      </c>
      <c r="F42" s="106">
        <f t="shared" si="16"/>
        <v>100</v>
      </c>
      <c r="H42" s="85">
        <v>4</v>
      </c>
      <c r="I42" s="41"/>
      <c r="J42" s="41"/>
      <c r="K42" s="41"/>
      <c r="L42" s="41"/>
    </row>
    <row r="43" spans="1:12" x14ac:dyDescent="0.2">
      <c r="A43" s="86" t="s">
        <v>122</v>
      </c>
      <c r="B43" s="77">
        <v>100</v>
      </c>
      <c r="C43" s="80">
        <v>100</v>
      </c>
      <c r="D43" s="77">
        <v>100</v>
      </c>
      <c r="E43" s="80">
        <v>100</v>
      </c>
      <c r="F43" s="106">
        <f t="shared" si="16"/>
        <v>100</v>
      </c>
      <c r="H43" s="85">
        <v>3</v>
      </c>
      <c r="I43" s="41"/>
      <c r="J43" s="41"/>
      <c r="K43" s="41"/>
      <c r="L43" s="41"/>
    </row>
    <row r="44" spans="1:12" x14ac:dyDescent="0.2">
      <c r="A44" s="86" t="s">
        <v>123</v>
      </c>
      <c r="B44" s="77">
        <v>100</v>
      </c>
      <c r="C44" s="80">
        <v>100</v>
      </c>
      <c r="D44" s="77">
        <v>100</v>
      </c>
      <c r="E44" s="80">
        <v>100</v>
      </c>
      <c r="F44" s="106">
        <f t="shared" si="16"/>
        <v>100</v>
      </c>
      <c r="H44" s="85">
        <v>5</v>
      </c>
      <c r="I44" s="41"/>
      <c r="J44" s="41"/>
      <c r="K44" s="41"/>
      <c r="L44" s="41"/>
    </row>
    <row r="45" spans="1:12" x14ac:dyDescent="0.2">
      <c r="A45" s="86" t="s">
        <v>124</v>
      </c>
      <c r="B45" s="77">
        <v>100</v>
      </c>
      <c r="C45" s="80">
        <f>19/20*100</f>
        <v>95</v>
      </c>
      <c r="D45" s="77">
        <v>100</v>
      </c>
      <c r="E45" s="80">
        <v>100</v>
      </c>
      <c r="F45" s="106">
        <f t="shared" si="16"/>
        <v>98.75</v>
      </c>
      <c r="H45" s="85">
        <v>5</v>
      </c>
      <c r="I45" s="41"/>
      <c r="J45" s="41"/>
      <c r="K45" s="41"/>
      <c r="L45" s="41"/>
    </row>
    <row r="46" spans="1:12" x14ac:dyDescent="0.2">
      <c r="A46" s="86" t="s">
        <v>110</v>
      </c>
      <c r="B46" s="77">
        <v>100</v>
      </c>
      <c r="C46" s="80">
        <v>100</v>
      </c>
      <c r="D46" s="77">
        <v>100</v>
      </c>
      <c r="E46" s="80">
        <v>100</v>
      </c>
      <c r="F46" s="106">
        <f t="shared" si="16"/>
        <v>100</v>
      </c>
      <c r="H46" s="85">
        <v>2</v>
      </c>
      <c r="I46" s="41"/>
      <c r="J46" s="41"/>
      <c r="K46" s="41"/>
      <c r="L46" s="41"/>
    </row>
    <row r="47" spans="1:12" x14ac:dyDescent="0.2">
      <c r="A47" s="86" t="s">
        <v>125</v>
      </c>
      <c r="B47" s="77">
        <v>100</v>
      </c>
      <c r="C47" s="80">
        <v>100</v>
      </c>
      <c r="D47" s="77">
        <v>100</v>
      </c>
      <c r="E47" s="80">
        <v>100</v>
      </c>
      <c r="F47" s="106">
        <f t="shared" si="16"/>
        <v>100</v>
      </c>
      <c r="H47" s="85">
        <v>1</v>
      </c>
      <c r="I47" s="41"/>
      <c r="J47" s="41"/>
      <c r="K47" s="41"/>
      <c r="L47" s="41"/>
    </row>
    <row r="48" spans="1:12" x14ac:dyDescent="0.2">
      <c r="A48" s="86" t="s">
        <v>111</v>
      </c>
      <c r="B48" s="77">
        <v>100</v>
      </c>
      <c r="C48" s="80">
        <v>100</v>
      </c>
      <c r="D48" s="77">
        <v>100</v>
      </c>
      <c r="E48" s="80">
        <v>100</v>
      </c>
      <c r="F48" s="106">
        <f t="shared" si="16"/>
        <v>100</v>
      </c>
      <c r="H48" s="85">
        <v>1</v>
      </c>
      <c r="I48" s="41"/>
      <c r="J48" s="41"/>
      <c r="K48" s="41"/>
      <c r="L48" s="41"/>
    </row>
    <row r="49" spans="1:12" x14ac:dyDescent="0.2">
      <c r="A49" s="86" t="s">
        <v>126</v>
      </c>
      <c r="B49" s="77">
        <v>100</v>
      </c>
      <c r="C49" s="80">
        <v>100</v>
      </c>
      <c r="D49" s="77">
        <v>100</v>
      </c>
      <c r="E49" s="80">
        <v>100</v>
      </c>
      <c r="F49" s="106">
        <f t="shared" si="16"/>
        <v>100</v>
      </c>
      <c r="H49" s="85">
        <v>3</v>
      </c>
      <c r="I49" s="41"/>
      <c r="J49" s="41"/>
      <c r="K49" s="41"/>
      <c r="L49" s="41"/>
    </row>
    <row r="50" spans="1:12" x14ac:dyDescent="0.2">
      <c r="A50" s="86" t="s">
        <v>112</v>
      </c>
      <c r="B50" s="77">
        <v>100</v>
      </c>
      <c r="C50" s="80">
        <v>100</v>
      </c>
      <c r="D50" s="77">
        <v>100</v>
      </c>
      <c r="E50" s="80">
        <v>100</v>
      </c>
      <c r="F50" s="106">
        <f t="shared" si="16"/>
        <v>100</v>
      </c>
      <c r="H50" s="85">
        <v>1</v>
      </c>
      <c r="I50" s="41"/>
      <c r="J50" s="41"/>
      <c r="K50" s="41"/>
      <c r="L50" s="41"/>
    </row>
    <row r="51" spans="1:12" x14ac:dyDescent="0.2">
      <c r="A51" s="86" t="s">
        <v>127</v>
      </c>
      <c r="B51" s="77">
        <v>100</v>
      </c>
      <c r="C51" s="80">
        <v>100</v>
      </c>
      <c r="D51" s="77">
        <v>100</v>
      </c>
      <c r="E51" s="80">
        <v>100</v>
      </c>
      <c r="F51" s="106">
        <f t="shared" si="16"/>
        <v>100</v>
      </c>
      <c r="H51" s="85">
        <v>4</v>
      </c>
      <c r="I51" s="41"/>
      <c r="J51" s="41"/>
      <c r="K51" s="41"/>
      <c r="L51" s="41"/>
    </row>
    <row r="52" spans="1:12" x14ac:dyDescent="0.2">
      <c r="A52" s="86" t="s">
        <v>128</v>
      </c>
      <c r="B52" s="77">
        <v>100</v>
      </c>
      <c r="C52" s="80">
        <v>100</v>
      </c>
      <c r="D52" s="77">
        <v>100</v>
      </c>
      <c r="E52" s="80">
        <v>100</v>
      </c>
      <c r="F52" s="106">
        <f t="shared" si="16"/>
        <v>100</v>
      </c>
      <c r="H52" s="85">
        <v>4</v>
      </c>
      <c r="I52" s="41"/>
      <c r="J52" s="41"/>
      <c r="K52" s="41"/>
      <c r="L52" s="41"/>
    </row>
    <row r="53" spans="1:12" x14ac:dyDescent="0.2">
      <c r="A53" s="86" t="s">
        <v>113</v>
      </c>
      <c r="B53" s="77">
        <v>100</v>
      </c>
      <c r="C53" s="80">
        <v>100</v>
      </c>
      <c r="D53" s="77">
        <v>100</v>
      </c>
      <c r="E53" s="80">
        <v>100</v>
      </c>
      <c r="F53" s="106">
        <f t="shared" si="16"/>
        <v>100</v>
      </c>
      <c r="H53" s="85">
        <v>5</v>
      </c>
      <c r="I53" s="41"/>
      <c r="J53" s="41"/>
      <c r="K53" s="41"/>
      <c r="L53" s="41"/>
    </row>
    <row r="54" spans="1:12" x14ac:dyDescent="0.2">
      <c r="A54" s="86" t="s">
        <v>114</v>
      </c>
      <c r="B54" s="77">
        <v>100</v>
      </c>
      <c r="C54" s="80">
        <v>100</v>
      </c>
      <c r="D54" s="77">
        <v>100</v>
      </c>
      <c r="E54" s="80">
        <v>100</v>
      </c>
      <c r="F54" s="106">
        <f t="shared" si="16"/>
        <v>100</v>
      </c>
      <c r="H54" s="85">
        <v>2</v>
      </c>
      <c r="I54" s="41"/>
      <c r="J54" s="41"/>
      <c r="K54" s="41"/>
      <c r="L54" s="41"/>
    </row>
    <row r="55" spans="1:12" x14ac:dyDescent="0.2">
      <c r="A55" s="86" t="s">
        <v>106</v>
      </c>
      <c r="B55" s="77">
        <v>100</v>
      </c>
      <c r="C55" s="80">
        <v>100</v>
      </c>
      <c r="D55" s="77">
        <v>100</v>
      </c>
      <c r="E55" s="80">
        <v>100</v>
      </c>
      <c r="F55" s="106">
        <f t="shared" si="16"/>
        <v>100</v>
      </c>
      <c r="H55" s="85">
        <v>3</v>
      </c>
      <c r="I55" s="41"/>
      <c r="J55" s="41"/>
      <c r="K55" s="41"/>
      <c r="L55" s="41"/>
    </row>
    <row r="56" spans="1:12" x14ac:dyDescent="0.2">
      <c r="A56" s="86" t="s">
        <v>108</v>
      </c>
      <c r="B56" s="77">
        <v>100</v>
      </c>
      <c r="C56" s="80">
        <v>100</v>
      </c>
      <c r="D56" s="77">
        <v>100</v>
      </c>
      <c r="E56" s="80">
        <v>100</v>
      </c>
      <c r="F56" s="106">
        <f t="shared" si="16"/>
        <v>100</v>
      </c>
      <c r="H56" s="85">
        <v>5</v>
      </c>
      <c r="I56" s="41"/>
      <c r="J56" s="41"/>
      <c r="K56" s="41"/>
      <c r="L56" s="41"/>
    </row>
    <row r="58" spans="1:12" x14ac:dyDescent="0.2">
      <c r="A58" s="116" t="s">
        <v>96</v>
      </c>
      <c r="B58" s="116"/>
      <c r="C58" s="116"/>
      <c r="D58" s="116"/>
    </row>
    <row r="59" spans="1:12" x14ac:dyDescent="0.2">
      <c r="A59" s="3" t="s">
        <v>1</v>
      </c>
      <c r="B59" s="108" t="s">
        <v>150</v>
      </c>
      <c r="C59" s="109" t="s">
        <v>151</v>
      </c>
      <c r="D59" s="108" t="s">
        <v>152</v>
      </c>
      <c r="E59" s="109" t="s">
        <v>153</v>
      </c>
      <c r="F59" s="108" t="s">
        <v>154</v>
      </c>
      <c r="G59" s="108" t="s">
        <v>164</v>
      </c>
      <c r="H59" s="108" t="s">
        <v>165</v>
      </c>
      <c r="I59" s="109" t="s">
        <v>155</v>
      </c>
      <c r="J59" s="105" t="s">
        <v>47</v>
      </c>
    </row>
    <row r="60" spans="1:12" x14ac:dyDescent="0.2">
      <c r="A60" s="86" t="s">
        <v>115</v>
      </c>
      <c r="B60" s="77">
        <f>(4*5+3)/24*100</f>
        <v>95.833333333333343</v>
      </c>
      <c r="C60" s="80">
        <f>(4*2+3*4)/24*100</f>
        <v>83.333333333333343</v>
      </c>
      <c r="D60" s="77">
        <v>100</v>
      </c>
      <c r="E60" s="80">
        <f>(4*5+3)/24*100</f>
        <v>95.833333333333343</v>
      </c>
      <c r="F60" s="77">
        <f>(4*5+3)/24*100</f>
        <v>95.833333333333343</v>
      </c>
      <c r="G60" s="77">
        <f>(4*3+3*3)/24*100</f>
        <v>87.5</v>
      </c>
      <c r="H60" s="77">
        <f>(4*3+3*3)/24*100</f>
        <v>87.5</v>
      </c>
      <c r="I60" s="80">
        <v>92</v>
      </c>
      <c r="J60" s="106">
        <f t="shared" ref="J60:J83" si="17">AVERAGE(B60:I60)</f>
        <v>92.229166666666671</v>
      </c>
      <c r="L60" s="85">
        <v>2</v>
      </c>
    </row>
    <row r="61" spans="1:12" x14ac:dyDescent="0.2">
      <c r="A61" s="86" t="s">
        <v>116</v>
      </c>
      <c r="B61" s="77">
        <f>(4*4+3+2)/24*100</f>
        <v>87.5</v>
      </c>
      <c r="C61" s="80">
        <f>(4*3+3*2+2)/24*100</f>
        <v>83.333333333333343</v>
      </c>
      <c r="D61" s="77">
        <f>(4*4+3*2)/24*100</f>
        <v>91.666666666666657</v>
      </c>
      <c r="E61" s="80">
        <f>(4*3+3*2+2)/24*100</f>
        <v>83.333333333333343</v>
      </c>
      <c r="F61" s="77">
        <f>(4*2+3*4)/24*100</f>
        <v>83.333333333333343</v>
      </c>
      <c r="G61" s="77">
        <f>(4*2+3*4)/24*100</f>
        <v>83.333333333333343</v>
      </c>
      <c r="H61" s="77">
        <f>(4*2+3*3+2)/24*100</f>
        <v>79.166666666666657</v>
      </c>
      <c r="I61" s="80" t="s">
        <v>166</v>
      </c>
      <c r="J61" s="106">
        <f t="shared" si="17"/>
        <v>84.523809523809533</v>
      </c>
      <c r="L61" s="85">
        <v>3</v>
      </c>
    </row>
    <row r="62" spans="1:12" x14ac:dyDescent="0.2">
      <c r="A62" s="86" t="s">
        <v>117</v>
      </c>
      <c r="B62" s="77">
        <f>(4*4+3+2)/24*100</f>
        <v>87.5</v>
      </c>
      <c r="C62" s="80">
        <f>(4*3+3*2+2)/24*100</f>
        <v>83.333333333333343</v>
      </c>
      <c r="D62" s="77">
        <f>(4*4+3*2)/24*100</f>
        <v>91.666666666666657</v>
      </c>
      <c r="E62" s="80">
        <f>(4*3+3*2+2)/24*100</f>
        <v>83.333333333333343</v>
      </c>
      <c r="F62" s="77">
        <f>(4*2+3*4)/24*100</f>
        <v>83.333333333333343</v>
      </c>
      <c r="G62" s="77">
        <f>(4*2+3*4)/24*100</f>
        <v>83.333333333333343</v>
      </c>
      <c r="H62" s="77">
        <f>(4*2+3*3+2)/24*100</f>
        <v>79.166666666666657</v>
      </c>
      <c r="I62" s="80" t="s">
        <v>166</v>
      </c>
      <c r="J62" s="106">
        <f t="shared" si="17"/>
        <v>84.523809523809533</v>
      </c>
      <c r="L62" s="85">
        <v>3</v>
      </c>
    </row>
    <row r="63" spans="1:12" x14ac:dyDescent="0.2">
      <c r="A63" s="86" t="s">
        <v>118</v>
      </c>
      <c r="B63" s="77">
        <f>(4*5+3)/24*100</f>
        <v>95.833333333333343</v>
      </c>
      <c r="C63" s="80">
        <f>(4*2+3*4)/24*100</f>
        <v>83.333333333333343</v>
      </c>
      <c r="D63" s="77">
        <v>100</v>
      </c>
      <c r="E63" s="80">
        <f>(4*5+3)/24*100</f>
        <v>95.833333333333343</v>
      </c>
      <c r="F63" s="77">
        <f>(4*5+3)/24*100</f>
        <v>95.833333333333343</v>
      </c>
      <c r="G63" s="77">
        <f>(4*3+3*3)/24*100</f>
        <v>87.5</v>
      </c>
      <c r="H63" s="77">
        <f>(4*3+3*3)/24*100</f>
        <v>87.5</v>
      </c>
      <c r="I63" s="80">
        <v>92</v>
      </c>
      <c r="J63" s="106">
        <f t="shared" si="17"/>
        <v>92.229166666666671</v>
      </c>
      <c r="L63" s="85">
        <v>2</v>
      </c>
    </row>
    <row r="64" spans="1:12" x14ac:dyDescent="0.2">
      <c r="A64" s="86" t="s">
        <v>119</v>
      </c>
      <c r="B64" s="77">
        <f>(4*5+3)/24*100</f>
        <v>95.833333333333343</v>
      </c>
      <c r="C64" s="80">
        <f>(4*2+3*4)/24*100</f>
        <v>83.333333333333343</v>
      </c>
      <c r="D64" s="77">
        <v>100</v>
      </c>
      <c r="E64" s="80">
        <f>(4*5+3)/24*100</f>
        <v>95.833333333333343</v>
      </c>
      <c r="F64" s="77">
        <f>(4*5+3)/24*100</f>
        <v>95.833333333333343</v>
      </c>
      <c r="G64" s="77">
        <f>(4*3+3*3)/24*100</f>
        <v>87.5</v>
      </c>
      <c r="H64" s="77">
        <f>(4*3+3*3)/24*100</f>
        <v>87.5</v>
      </c>
      <c r="I64" s="80">
        <v>92</v>
      </c>
      <c r="J64" s="106">
        <f t="shared" si="17"/>
        <v>92.229166666666671</v>
      </c>
      <c r="L64" s="85">
        <v>2</v>
      </c>
    </row>
    <row r="65" spans="1:12" x14ac:dyDescent="0.2">
      <c r="A65" s="86" t="s">
        <v>107</v>
      </c>
      <c r="B65" s="77">
        <f>(4*2+3*2+2*2)/24*100</f>
        <v>75</v>
      </c>
      <c r="C65" s="80">
        <f>(4+3*4+2)/24*100</f>
        <v>75</v>
      </c>
      <c r="D65" s="77">
        <f>(4*5+3)/24*100</f>
        <v>95.833333333333343</v>
      </c>
      <c r="E65" s="80">
        <f>(4*5+2)/24*100</f>
        <v>91.666666666666657</v>
      </c>
      <c r="F65" s="77">
        <f>(4*5+3)/24*100</f>
        <v>95.833333333333343</v>
      </c>
      <c r="G65" s="77">
        <f>(4*2+3*3+1)/24*100</f>
        <v>75</v>
      </c>
      <c r="H65" s="77">
        <v>100</v>
      </c>
      <c r="I65" s="80" t="s">
        <v>167</v>
      </c>
      <c r="J65" s="106">
        <f t="shared" si="17"/>
        <v>86.904761904761912</v>
      </c>
      <c r="L65" s="85">
        <v>1</v>
      </c>
    </row>
    <row r="66" spans="1:12" x14ac:dyDescent="0.2">
      <c r="A66" s="86" t="s">
        <v>135</v>
      </c>
      <c r="B66" s="77">
        <f>(4*5+3)/24*100</f>
        <v>95.833333333333343</v>
      </c>
      <c r="C66" s="80">
        <v>100</v>
      </c>
      <c r="D66" s="77">
        <v>100</v>
      </c>
      <c r="E66" s="80">
        <v>100</v>
      </c>
      <c r="F66" s="77">
        <v>100</v>
      </c>
      <c r="G66" s="77">
        <f>(4*5+3)/24*100</f>
        <v>95.833333333333343</v>
      </c>
      <c r="H66" s="77">
        <v>100</v>
      </c>
      <c r="I66" s="80">
        <v>96</v>
      </c>
      <c r="J66" s="106">
        <f t="shared" si="17"/>
        <v>98.458333333333343</v>
      </c>
      <c r="L66" s="85">
        <v>4</v>
      </c>
    </row>
    <row r="67" spans="1:12" x14ac:dyDescent="0.2">
      <c r="A67" s="86" t="s">
        <v>120</v>
      </c>
      <c r="B67" s="77">
        <f>(4*2+3*2+2*2)/24*100</f>
        <v>75</v>
      </c>
      <c r="C67" s="80">
        <f>(4+3*4+2)/24*100</f>
        <v>75</v>
      </c>
      <c r="D67" s="77">
        <f>(4*5+3)/24*100</f>
        <v>95.833333333333343</v>
      </c>
      <c r="E67" s="80">
        <f>(4*5+2)/24*100</f>
        <v>91.666666666666657</v>
      </c>
      <c r="F67" s="77">
        <f>(4*5+3)/24*100</f>
        <v>95.833333333333343</v>
      </c>
      <c r="G67" s="77">
        <f>(4*2+3*3+1)/24*100</f>
        <v>75</v>
      </c>
      <c r="H67" s="77">
        <v>100</v>
      </c>
      <c r="I67" s="80" t="s">
        <v>167</v>
      </c>
      <c r="J67" s="106">
        <f t="shared" si="17"/>
        <v>86.904761904761912</v>
      </c>
      <c r="L67" s="85">
        <v>1</v>
      </c>
    </row>
    <row r="68" spans="1:12" x14ac:dyDescent="0.2">
      <c r="A68" s="86" t="s">
        <v>109</v>
      </c>
      <c r="B68" s="77">
        <f>(4*5+3)/24*100</f>
        <v>95.833333333333343</v>
      </c>
      <c r="C68" s="80">
        <v>100</v>
      </c>
      <c r="D68" s="77">
        <v>100</v>
      </c>
      <c r="E68" s="80">
        <v>100</v>
      </c>
      <c r="F68" s="77">
        <v>100</v>
      </c>
      <c r="G68" s="77">
        <f>(4*5+3)/24*100</f>
        <v>95.833333333333343</v>
      </c>
      <c r="H68" s="77">
        <v>100</v>
      </c>
      <c r="I68" s="80">
        <v>96</v>
      </c>
      <c r="J68" s="106">
        <f t="shared" si="17"/>
        <v>98.458333333333343</v>
      </c>
      <c r="L68" s="85">
        <v>4</v>
      </c>
    </row>
    <row r="69" spans="1:12" x14ac:dyDescent="0.2">
      <c r="A69" s="86" t="s">
        <v>121</v>
      </c>
      <c r="B69" s="77">
        <f>(4*5+3)/24*100</f>
        <v>95.833333333333343</v>
      </c>
      <c r="C69" s="80">
        <v>100</v>
      </c>
      <c r="D69" s="77">
        <v>100</v>
      </c>
      <c r="E69" s="80">
        <v>100</v>
      </c>
      <c r="F69" s="77">
        <v>100</v>
      </c>
      <c r="G69" s="77">
        <f>(4*5+3)/24*100</f>
        <v>95.833333333333343</v>
      </c>
      <c r="H69" s="77">
        <v>100</v>
      </c>
      <c r="I69" s="80">
        <v>96</v>
      </c>
      <c r="J69" s="106">
        <f t="shared" si="17"/>
        <v>98.458333333333343</v>
      </c>
      <c r="L69" s="85">
        <v>4</v>
      </c>
    </row>
    <row r="70" spans="1:12" x14ac:dyDescent="0.2">
      <c r="A70" s="86" t="s">
        <v>122</v>
      </c>
      <c r="B70" s="77">
        <f>(4*4+3+2)/24*100</f>
        <v>87.5</v>
      </c>
      <c r="C70" s="80">
        <f>(4*3+3*2+2)/24*100</f>
        <v>83.333333333333343</v>
      </c>
      <c r="D70" s="77">
        <f>(4*4+3*2)/24*100</f>
        <v>91.666666666666657</v>
      </c>
      <c r="E70" s="80">
        <f>(4*3+3*2+2)/24*100</f>
        <v>83.333333333333343</v>
      </c>
      <c r="F70" s="77">
        <f>(4*2+3*4)/24*100</f>
        <v>83.333333333333343</v>
      </c>
      <c r="G70" s="77">
        <f>(4*2+3*4)/24*100</f>
        <v>83.333333333333343</v>
      </c>
      <c r="H70" s="77">
        <f>(4*2+3*3+2)/24*100</f>
        <v>79.166666666666657</v>
      </c>
      <c r="I70" s="80" t="s">
        <v>166</v>
      </c>
      <c r="J70" s="106">
        <f t="shared" si="17"/>
        <v>84.523809523809533</v>
      </c>
      <c r="L70" s="85">
        <v>3</v>
      </c>
    </row>
    <row r="71" spans="1:12" x14ac:dyDescent="0.2">
      <c r="A71" s="86" t="s">
        <v>123</v>
      </c>
      <c r="B71" s="77">
        <f>(4*2+3*2+2+1)/24*100</f>
        <v>70.833333333333343</v>
      </c>
      <c r="C71" s="80">
        <f>(4+3*5)/24*100</f>
        <v>79.166666666666657</v>
      </c>
      <c r="D71" s="77">
        <f>(4*5+3)/24*100</f>
        <v>95.833333333333343</v>
      </c>
      <c r="E71" s="80">
        <f>(4*3+3*3)/24*100</f>
        <v>87.5</v>
      </c>
      <c r="F71" s="80">
        <f>(4*4+3*2)/24*100</f>
        <v>91.666666666666657</v>
      </c>
      <c r="G71" s="80">
        <f>(4*3+3*2+1)/24*100</f>
        <v>79.166666666666657</v>
      </c>
      <c r="H71" s="80">
        <f>(4*2+3*4)/24*100</f>
        <v>83.333333333333343</v>
      </c>
      <c r="I71" s="80" t="s">
        <v>168</v>
      </c>
      <c r="J71" s="106">
        <f t="shared" si="17"/>
        <v>83.928571428571431</v>
      </c>
      <c r="L71" s="85">
        <v>5</v>
      </c>
    </row>
    <row r="72" spans="1:12" x14ac:dyDescent="0.2">
      <c r="A72" s="86" t="s">
        <v>124</v>
      </c>
      <c r="B72" s="77">
        <f>(4*2+3*2+2+1)/24*100</f>
        <v>70.833333333333343</v>
      </c>
      <c r="C72" s="80">
        <f>(4+3*5)/24*100</f>
        <v>79.166666666666657</v>
      </c>
      <c r="D72" s="77">
        <f>(4*5+3)/24*100</f>
        <v>95.833333333333343</v>
      </c>
      <c r="E72" s="80">
        <f>(4*3+3*3)/24*100</f>
        <v>87.5</v>
      </c>
      <c r="F72" s="80">
        <f>(4*4+3*2)/24*100</f>
        <v>91.666666666666657</v>
      </c>
      <c r="G72" s="80">
        <f>(4*3+3*2+1)/24*100</f>
        <v>79.166666666666657</v>
      </c>
      <c r="H72" s="80">
        <f>(4*2+3*4)/24*100</f>
        <v>83.333333333333343</v>
      </c>
      <c r="I72" s="80" t="s">
        <v>168</v>
      </c>
      <c r="J72" s="106">
        <f t="shared" si="17"/>
        <v>83.928571428571431</v>
      </c>
      <c r="L72" s="85">
        <v>5</v>
      </c>
    </row>
    <row r="73" spans="1:12" x14ac:dyDescent="0.2">
      <c r="A73" s="86" t="s">
        <v>110</v>
      </c>
      <c r="B73" s="77">
        <f>(4*5+3)/24*100</f>
        <v>95.833333333333343</v>
      </c>
      <c r="C73" s="80">
        <f>(4*2+3*4)/24*100</f>
        <v>83.333333333333343</v>
      </c>
      <c r="D73" s="77">
        <v>100</v>
      </c>
      <c r="E73" s="80">
        <f>(4*5+3)/24*100</f>
        <v>95.833333333333343</v>
      </c>
      <c r="F73" s="77">
        <f>(4*5+3)/24*100</f>
        <v>95.833333333333343</v>
      </c>
      <c r="G73" s="77">
        <f>(4*3+3*3)/24*100</f>
        <v>87.5</v>
      </c>
      <c r="H73" s="77">
        <f>(4*3+3*3)/24*100</f>
        <v>87.5</v>
      </c>
      <c r="I73" s="80">
        <v>92</v>
      </c>
      <c r="J73" s="106">
        <f t="shared" si="17"/>
        <v>92.229166666666671</v>
      </c>
      <c r="L73" s="85">
        <v>2</v>
      </c>
    </row>
    <row r="74" spans="1:12" x14ac:dyDescent="0.2">
      <c r="A74" s="86" t="s">
        <v>125</v>
      </c>
      <c r="B74" s="77">
        <f>(4*2+3*2+2*2)/24*100</f>
        <v>75</v>
      </c>
      <c r="C74" s="80">
        <f>(4+3*4+2)/24*100</f>
        <v>75</v>
      </c>
      <c r="D74" s="77">
        <f>(4*5+3)/24*100</f>
        <v>95.833333333333343</v>
      </c>
      <c r="E74" s="80">
        <f>(4*5+2)/24*100</f>
        <v>91.666666666666657</v>
      </c>
      <c r="F74" s="77">
        <f>(4*5+3)/24*100</f>
        <v>95.833333333333343</v>
      </c>
      <c r="G74" s="77">
        <f>(4*2+3*3+1)/24*100</f>
        <v>75</v>
      </c>
      <c r="H74" s="77">
        <v>100</v>
      </c>
      <c r="I74" s="80" t="s">
        <v>167</v>
      </c>
      <c r="J74" s="106">
        <f t="shared" si="17"/>
        <v>86.904761904761912</v>
      </c>
      <c r="L74" s="85">
        <v>1</v>
      </c>
    </row>
    <row r="75" spans="1:12" x14ac:dyDescent="0.2">
      <c r="A75" s="86" t="s">
        <v>111</v>
      </c>
      <c r="B75" s="77">
        <f>(4*2+3*2+2*2)/24*100</f>
        <v>75</v>
      </c>
      <c r="C75" s="80">
        <f>(4+3*4+2)/24*100</f>
        <v>75</v>
      </c>
      <c r="D75" s="77">
        <f>(4*5+3)/24*100</f>
        <v>95.833333333333343</v>
      </c>
      <c r="E75" s="80">
        <f>(4*5+2)/24*100</f>
        <v>91.666666666666657</v>
      </c>
      <c r="F75" s="77">
        <f>(4*5+3)/24*100</f>
        <v>95.833333333333343</v>
      </c>
      <c r="G75" s="77">
        <f>(4*2+3*3+1)/24*100</f>
        <v>75</v>
      </c>
      <c r="H75" s="77">
        <v>100</v>
      </c>
      <c r="I75" s="80" t="s">
        <v>167</v>
      </c>
      <c r="J75" s="106">
        <f t="shared" si="17"/>
        <v>86.904761904761912</v>
      </c>
      <c r="L75" s="85">
        <v>1</v>
      </c>
    </row>
    <row r="76" spans="1:12" x14ac:dyDescent="0.2">
      <c r="A76" s="86" t="s">
        <v>126</v>
      </c>
      <c r="B76" s="77">
        <f>(4*4+3+2)/24*100</f>
        <v>87.5</v>
      </c>
      <c r="C76" s="80">
        <f>(4*3+3*2+2)/24*100</f>
        <v>83.333333333333343</v>
      </c>
      <c r="D76" s="77">
        <f>(4*4+3*2)/24*100</f>
        <v>91.666666666666657</v>
      </c>
      <c r="E76" s="80">
        <f>(4*3+3*2+2)/24*100</f>
        <v>83.333333333333343</v>
      </c>
      <c r="F76" s="77">
        <f>(4*2+3*4)/24*100</f>
        <v>83.333333333333343</v>
      </c>
      <c r="G76" s="77">
        <f>(4*2+3*4)/24*100</f>
        <v>83.333333333333343</v>
      </c>
      <c r="H76" s="77">
        <f>(4*2+3*3+2)/24*100</f>
        <v>79.166666666666657</v>
      </c>
      <c r="I76" s="80" t="s">
        <v>166</v>
      </c>
      <c r="J76" s="106">
        <f t="shared" si="17"/>
        <v>84.523809523809533</v>
      </c>
      <c r="L76" s="85">
        <v>3</v>
      </c>
    </row>
    <row r="77" spans="1:12" x14ac:dyDescent="0.2">
      <c r="A77" s="86" t="s">
        <v>112</v>
      </c>
      <c r="B77" s="77">
        <f>(4*2+3*2+2*2)/24*100</f>
        <v>75</v>
      </c>
      <c r="C77" s="80">
        <f>(4+3*4+2)/24*100</f>
        <v>75</v>
      </c>
      <c r="D77" s="77">
        <f>(4*5+3)/24*100</f>
        <v>95.833333333333343</v>
      </c>
      <c r="E77" s="80">
        <f>(4*5+2)/24*100</f>
        <v>91.666666666666657</v>
      </c>
      <c r="F77" s="77">
        <f>(4*5+3)/24*100</f>
        <v>95.833333333333343</v>
      </c>
      <c r="G77" s="77">
        <f>(4*2+3*3+1)/24*100</f>
        <v>75</v>
      </c>
      <c r="H77" s="77">
        <v>100</v>
      </c>
      <c r="I77" s="80" t="s">
        <v>167</v>
      </c>
      <c r="J77" s="106">
        <f t="shared" si="17"/>
        <v>86.904761904761912</v>
      </c>
      <c r="L77" s="85">
        <v>1</v>
      </c>
    </row>
    <row r="78" spans="1:12" x14ac:dyDescent="0.2">
      <c r="A78" s="86" t="s">
        <v>127</v>
      </c>
      <c r="B78" s="77">
        <f>(4*5+3)/24*100</f>
        <v>95.833333333333343</v>
      </c>
      <c r="C78" s="80">
        <v>100</v>
      </c>
      <c r="D78" s="77">
        <v>100</v>
      </c>
      <c r="E78" s="80">
        <v>100</v>
      </c>
      <c r="F78" s="77">
        <v>100</v>
      </c>
      <c r="G78" s="77">
        <f>(4*5+3)/24*100</f>
        <v>95.833333333333343</v>
      </c>
      <c r="H78" s="77">
        <v>100</v>
      </c>
      <c r="I78" s="80">
        <v>96</v>
      </c>
      <c r="J78" s="106">
        <f t="shared" si="17"/>
        <v>98.458333333333343</v>
      </c>
      <c r="L78" s="85">
        <v>4</v>
      </c>
    </row>
    <row r="79" spans="1:12" x14ac:dyDescent="0.2">
      <c r="A79" s="86" t="s">
        <v>128</v>
      </c>
      <c r="B79" s="77">
        <f>(4*5+3)/24*100</f>
        <v>95.833333333333343</v>
      </c>
      <c r="C79" s="80">
        <v>100</v>
      </c>
      <c r="D79" s="77">
        <v>100</v>
      </c>
      <c r="E79" s="80">
        <v>100</v>
      </c>
      <c r="F79" s="77">
        <v>100</v>
      </c>
      <c r="G79" s="77">
        <f>(4*5+3)/24*100</f>
        <v>95.833333333333343</v>
      </c>
      <c r="H79" s="77">
        <v>100</v>
      </c>
      <c r="I79" s="80">
        <v>96</v>
      </c>
      <c r="J79" s="106">
        <f t="shared" si="17"/>
        <v>98.458333333333343</v>
      </c>
      <c r="L79" s="85">
        <v>4</v>
      </c>
    </row>
    <row r="80" spans="1:12" x14ac:dyDescent="0.2">
      <c r="A80" s="86" t="s">
        <v>113</v>
      </c>
      <c r="B80" s="77">
        <f>(4*2+3*2+2+1)/24*100</f>
        <v>70.833333333333343</v>
      </c>
      <c r="C80" s="80">
        <f>(4+3*5)/24*100</f>
        <v>79.166666666666657</v>
      </c>
      <c r="D80" s="77">
        <f>(4*5+3)/24*100</f>
        <v>95.833333333333343</v>
      </c>
      <c r="E80" s="80">
        <f>(4*3+3*3)/24*100</f>
        <v>87.5</v>
      </c>
      <c r="F80" s="80">
        <f>(4*4+3*2)/24*100</f>
        <v>91.666666666666657</v>
      </c>
      <c r="G80" s="80">
        <f>(4*3+3*2+1)/24*100</f>
        <v>79.166666666666657</v>
      </c>
      <c r="H80" s="80">
        <f>(4*2+3*4)/24*100</f>
        <v>83.333333333333343</v>
      </c>
      <c r="I80" s="80" t="s">
        <v>168</v>
      </c>
      <c r="J80" s="106">
        <f t="shared" si="17"/>
        <v>83.928571428571431</v>
      </c>
      <c r="L80" s="85">
        <v>5</v>
      </c>
    </row>
    <row r="81" spans="1:18" x14ac:dyDescent="0.2">
      <c r="A81" s="86" t="s">
        <v>114</v>
      </c>
      <c r="B81" s="77">
        <f>(4*5+3)/24*100</f>
        <v>95.833333333333343</v>
      </c>
      <c r="C81" s="80">
        <f>(4*2+3*4)/24*100</f>
        <v>83.333333333333343</v>
      </c>
      <c r="D81" s="77">
        <v>100</v>
      </c>
      <c r="E81" s="80">
        <f>(4*5+3)/24*100</f>
        <v>95.833333333333343</v>
      </c>
      <c r="F81" s="77">
        <f>(4*5+3)/24*100</f>
        <v>95.833333333333343</v>
      </c>
      <c r="G81" s="77">
        <f>(4*3+3*3)/24*100</f>
        <v>87.5</v>
      </c>
      <c r="H81" s="77">
        <f>(4*3+3*3)/24*100</f>
        <v>87.5</v>
      </c>
      <c r="I81" s="80">
        <v>92</v>
      </c>
      <c r="J81" s="106">
        <f t="shared" si="17"/>
        <v>92.229166666666671</v>
      </c>
      <c r="L81" s="85">
        <v>2</v>
      </c>
    </row>
    <row r="82" spans="1:18" x14ac:dyDescent="0.2">
      <c r="A82" s="86" t="s">
        <v>106</v>
      </c>
      <c r="B82" s="77">
        <f>(4*4+3+2)/24*100</f>
        <v>87.5</v>
      </c>
      <c r="C82" s="80">
        <f>(4*3+3*2+2)/24*100</f>
        <v>83.333333333333343</v>
      </c>
      <c r="D82" s="77">
        <f>(4*4+3*2)/24*100</f>
        <v>91.666666666666657</v>
      </c>
      <c r="E82" s="80">
        <f>(4*3+3*2+2)/24*100</f>
        <v>83.333333333333343</v>
      </c>
      <c r="F82" s="77">
        <f>(4*2+3*4)/24*100</f>
        <v>83.333333333333343</v>
      </c>
      <c r="G82" s="77">
        <f>(4*2+3*4)/24*100</f>
        <v>83.333333333333343</v>
      </c>
      <c r="H82" s="77">
        <f>(4*2+3*3+2)/24*100</f>
        <v>79.166666666666657</v>
      </c>
      <c r="I82" s="80" t="s">
        <v>166</v>
      </c>
      <c r="J82" s="106">
        <f t="shared" si="17"/>
        <v>84.523809523809533</v>
      </c>
      <c r="L82" s="85">
        <v>3</v>
      </c>
    </row>
    <row r="83" spans="1:18" x14ac:dyDescent="0.2">
      <c r="A83" s="86" t="s">
        <v>108</v>
      </c>
      <c r="B83" s="77">
        <f>(4*2+3*2+2+1)/24*100</f>
        <v>70.833333333333343</v>
      </c>
      <c r="C83" s="80">
        <f>(4+3*5)/24*100</f>
        <v>79.166666666666657</v>
      </c>
      <c r="D83" s="77">
        <f>(4*5+3)/24*100</f>
        <v>95.833333333333343</v>
      </c>
      <c r="E83" s="80">
        <f>(4*3+3*3)/24*100</f>
        <v>87.5</v>
      </c>
      <c r="F83" s="80">
        <f>(4*4+3*2)/24*100</f>
        <v>91.666666666666657</v>
      </c>
      <c r="G83" s="80">
        <f>(4*3+3*2+1)/24*100</f>
        <v>79.166666666666657</v>
      </c>
      <c r="H83" s="80">
        <f>(4*2+3*4)/24*100</f>
        <v>83.333333333333343</v>
      </c>
      <c r="I83" s="80" t="s">
        <v>168</v>
      </c>
      <c r="J83" s="106">
        <f t="shared" si="17"/>
        <v>83.928571428571431</v>
      </c>
      <c r="L83" s="85">
        <v>5</v>
      </c>
    </row>
    <row r="85" spans="1:18" x14ac:dyDescent="0.2">
      <c r="A85" s="117" t="s">
        <v>136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</row>
    <row r="86" spans="1:18" x14ac:dyDescent="0.2">
      <c r="A86" s="3" t="s">
        <v>1</v>
      </c>
      <c r="B86" s="91">
        <v>43546</v>
      </c>
      <c r="C86" s="91">
        <v>43553</v>
      </c>
      <c r="D86" s="91">
        <v>43560</v>
      </c>
      <c r="E86" s="91">
        <v>43567</v>
      </c>
      <c r="F86" s="91">
        <v>43581</v>
      </c>
      <c r="G86" s="91">
        <v>43588</v>
      </c>
      <c r="H86" s="91">
        <v>43592</v>
      </c>
      <c r="I86" s="91">
        <v>43602</v>
      </c>
      <c r="J86" s="92">
        <v>43609</v>
      </c>
      <c r="K86" s="92">
        <v>43623</v>
      </c>
      <c r="L86" s="92">
        <v>43630</v>
      </c>
      <c r="M86" s="92">
        <v>43644</v>
      </c>
      <c r="N86" s="92">
        <v>43648</v>
      </c>
      <c r="O86" s="92">
        <v>43656</v>
      </c>
      <c r="P86" s="93" t="s">
        <v>47</v>
      </c>
    </row>
    <row r="87" spans="1:18" x14ac:dyDescent="0.2">
      <c r="A87" s="86" t="s">
        <v>115</v>
      </c>
      <c r="B87" s="77">
        <v>1</v>
      </c>
      <c r="C87" s="77">
        <v>1</v>
      </c>
      <c r="D87" s="77">
        <v>1</v>
      </c>
      <c r="E87" s="80">
        <v>1</v>
      </c>
      <c r="F87" s="80">
        <v>1</v>
      </c>
      <c r="G87" s="77">
        <v>1</v>
      </c>
      <c r="H87" s="20">
        <v>1</v>
      </c>
      <c r="I87" s="20">
        <v>1</v>
      </c>
      <c r="J87" s="20">
        <v>1</v>
      </c>
      <c r="K87" s="80">
        <v>1</v>
      </c>
      <c r="L87" s="80">
        <v>1</v>
      </c>
      <c r="M87" s="80">
        <v>1</v>
      </c>
      <c r="N87" s="80">
        <v>1</v>
      </c>
      <c r="O87" s="80">
        <v>1</v>
      </c>
      <c r="P87" s="94">
        <f>AVERAGE(B87:O87)*100</f>
        <v>100</v>
      </c>
      <c r="R87" s="85">
        <v>2</v>
      </c>
    </row>
    <row r="88" spans="1:18" x14ac:dyDescent="0.2">
      <c r="A88" s="86" t="s">
        <v>116</v>
      </c>
      <c r="B88" s="77">
        <v>1</v>
      </c>
      <c r="C88" s="77">
        <v>1</v>
      </c>
      <c r="D88" s="77">
        <v>1</v>
      </c>
      <c r="E88" s="80">
        <v>1</v>
      </c>
      <c r="F88" s="80">
        <v>1</v>
      </c>
      <c r="G88" s="77">
        <v>1</v>
      </c>
      <c r="H88" s="20">
        <v>1</v>
      </c>
      <c r="I88" s="20">
        <v>1</v>
      </c>
      <c r="J88" s="20">
        <v>1</v>
      </c>
      <c r="K88" s="80">
        <v>1</v>
      </c>
      <c r="L88" s="80">
        <v>1</v>
      </c>
      <c r="M88" s="80">
        <v>1</v>
      </c>
      <c r="N88" s="80">
        <v>1</v>
      </c>
      <c r="O88" s="80">
        <v>1</v>
      </c>
      <c r="P88" s="94">
        <f t="shared" ref="P88:P110" si="18">AVERAGE(B88:O88)*100</f>
        <v>100</v>
      </c>
      <c r="R88" s="85">
        <v>3</v>
      </c>
    </row>
    <row r="89" spans="1:18" x14ac:dyDescent="0.2">
      <c r="A89" s="86" t="s">
        <v>117</v>
      </c>
      <c r="B89" s="77">
        <v>1</v>
      </c>
      <c r="C89" s="77">
        <v>1</v>
      </c>
      <c r="D89" s="77">
        <v>1</v>
      </c>
      <c r="E89" s="80">
        <v>1</v>
      </c>
      <c r="F89" s="80">
        <v>1</v>
      </c>
      <c r="G89" s="77">
        <v>1</v>
      </c>
      <c r="H89" s="20">
        <v>1</v>
      </c>
      <c r="I89" s="20">
        <v>1</v>
      </c>
      <c r="J89" s="20">
        <v>1</v>
      </c>
      <c r="K89" s="80">
        <v>1</v>
      </c>
      <c r="L89" s="80">
        <v>1</v>
      </c>
      <c r="M89" s="80">
        <v>1</v>
      </c>
      <c r="N89" s="80">
        <v>1</v>
      </c>
      <c r="O89" s="80">
        <v>1</v>
      </c>
      <c r="P89" s="94">
        <f t="shared" si="18"/>
        <v>100</v>
      </c>
      <c r="R89" s="85">
        <v>3</v>
      </c>
    </row>
    <row r="90" spans="1:18" x14ac:dyDescent="0.2">
      <c r="A90" s="86" t="s">
        <v>118</v>
      </c>
      <c r="B90" s="77">
        <v>1</v>
      </c>
      <c r="C90" s="77">
        <v>1</v>
      </c>
      <c r="D90" s="77">
        <v>1</v>
      </c>
      <c r="E90" s="80">
        <v>1</v>
      </c>
      <c r="F90" s="80">
        <v>1</v>
      </c>
      <c r="G90" s="77">
        <v>1</v>
      </c>
      <c r="H90" s="20">
        <v>1</v>
      </c>
      <c r="I90" s="20">
        <v>1</v>
      </c>
      <c r="J90" s="20">
        <v>1</v>
      </c>
      <c r="K90" s="80">
        <v>1</v>
      </c>
      <c r="L90" s="80">
        <v>1</v>
      </c>
      <c r="M90" s="80">
        <v>1</v>
      </c>
      <c r="N90" s="80">
        <v>1</v>
      </c>
      <c r="O90" s="80">
        <v>1</v>
      </c>
      <c r="P90" s="94">
        <f t="shared" si="18"/>
        <v>100</v>
      </c>
      <c r="R90" s="85">
        <v>2</v>
      </c>
    </row>
    <row r="91" spans="1:18" x14ac:dyDescent="0.2">
      <c r="A91" s="86" t="s">
        <v>119</v>
      </c>
      <c r="B91" s="77">
        <v>1</v>
      </c>
      <c r="C91" s="77">
        <v>1</v>
      </c>
      <c r="D91" s="77">
        <v>1</v>
      </c>
      <c r="E91" s="80">
        <v>1</v>
      </c>
      <c r="F91" s="80">
        <v>1</v>
      </c>
      <c r="G91" s="77">
        <v>1</v>
      </c>
      <c r="H91" s="20">
        <v>1</v>
      </c>
      <c r="I91" s="20">
        <v>1</v>
      </c>
      <c r="J91" s="20">
        <v>1</v>
      </c>
      <c r="K91" s="80">
        <v>0</v>
      </c>
      <c r="L91" s="80">
        <v>1</v>
      </c>
      <c r="M91" s="80">
        <v>1</v>
      </c>
      <c r="N91" s="80">
        <v>1</v>
      </c>
      <c r="O91" s="80">
        <v>1</v>
      </c>
      <c r="P91" s="94">
        <f t="shared" si="18"/>
        <v>92.857142857142861</v>
      </c>
      <c r="R91" s="85">
        <v>2</v>
      </c>
    </row>
    <row r="92" spans="1:18" x14ac:dyDescent="0.2">
      <c r="A92" s="86" t="s">
        <v>107</v>
      </c>
      <c r="B92" s="77">
        <v>1</v>
      </c>
      <c r="C92" s="77">
        <v>1</v>
      </c>
      <c r="D92" s="77">
        <v>1</v>
      </c>
      <c r="E92" s="80">
        <v>1</v>
      </c>
      <c r="F92" s="80">
        <v>1</v>
      </c>
      <c r="G92" s="77">
        <v>1</v>
      </c>
      <c r="H92" s="20">
        <v>1</v>
      </c>
      <c r="I92" s="20">
        <v>0</v>
      </c>
      <c r="J92" s="20">
        <v>1</v>
      </c>
      <c r="K92" s="80">
        <v>1</v>
      </c>
      <c r="L92" s="80">
        <v>1</v>
      </c>
      <c r="M92" s="80">
        <v>1</v>
      </c>
      <c r="N92" s="80">
        <v>1</v>
      </c>
      <c r="O92" s="80">
        <v>1</v>
      </c>
      <c r="P92" s="94">
        <f t="shared" si="18"/>
        <v>92.857142857142861</v>
      </c>
      <c r="R92" s="85">
        <v>1</v>
      </c>
    </row>
    <row r="93" spans="1:18" x14ac:dyDescent="0.2">
      <c r="A93" s="86" t="s">
        <v>135</v>
      </c>
      <c r="B93" s="77">
        <v>1</v>
      </c>
      <c r="C93" s="77">
        <v>1</v>
      </c>
      <c r="D93" s="77">
        <v>1</v>
      </c>
      <c r="E93" s="80">
        <v>0</v>
      </c>
      <c r="F93" s="80">
        <v>0</v>
      </c>
      <c r="G93" s="77">
        <v>1</v>
      </c>
      <c r="H93" s="20">
        <v>1</v>
      </c>
      <c r="I93" s="20">
        <v>0</v>
      </c>
      <c r="J93" s="20">
        <v>0</v>
      </c>
      <c r="K93" s="80">
        <v>1</v>
      </c>
      <c r="L93" s="80">
        <v>1</v>
      </c>
      <c r="M93" s="80">
        <v>1</v>
      </c>
      <c r="N93" s="80">
        <v>0</v>
      </c>
      <c r="O93" s="80">
        <v>0</v>
      </c>
      <c r="P93" s="94">
        <f t="shared" si="18"/>
        <v>57.142857142857139</v>
      </c>
      <c r="R93" s="85">
        <v>4</v>
      </c>
    </row>
    <row r="94" spans="1:18" x14ac:dyDescent="0.2">
      <c r="A94" s="86" t="s">
        <v>120</v>
      </c>
      <c r="B94" s="77">
        <v>1</v>
      </c>
      <c r="C94" s="77">
        <v>1</v>
      </c>
      <c r="D94" s="77">
        <v>1</v>
      </c>
      <c r="E94" s="80">
        <v>1</v>
      </c>
      <c r="F94" s="80">
        <v>1</v>
      </c>
      <c r="G94" s="77">
        <v>1</v>
      </c>
      <c r="H94" s="20">
        <v>1</v>
      </c>
      <c r="I94" s="20">
        <v>0</v>
      </c>
      <c r="J94" s="20">
        <v>1</v>
      </c>
      <c r="K94" s="80">
        <v>1</v>
      </c>
      <c r="L94" s="80">
        <v>1</v>
      </c>
      <c r="M94" s="80">
        <v>1</v>
      </c>
      <c r="N94" s="80">
        <v>1</v>
      </c>
      <c r="O94" s="80">
        <v>1</v>
      </c>
      <c r="P94" s="94">
        <f t="shared" si="18"/>
        <v>92.857142857142861</v>
      </c>
      <c r="R94" s="85">
        <v>1</v>
      </c>
    </row>
    <row r="95" spans="1:18" x14ac:dyDescent="0.2">
      <c r="A95" s="86" t="s">
        <v>109</v>
      </c>
      <c r="B95" s="77">
        <v>1</v>
      </c>
      <c r="C95" s="77">
        <v>1</v>
      </c>
      <c r="D95" s="77">
        <v>1</v>
      </c>
      <c r="E95" s="80">
        <v>1</v>
      </c>
      <c r="F95" s="80">
        <v>1</v>
      </c>
      <c r="G95" s="77">
        <v>1</v>
      </c>
      <c r="H95" s="20">
        <v>0</v>
      </c>
      <c r="I95" s="20">
        <v>0</v>
      </c>
      <c r="J95" s="20">
        <v>0</v>
      </c>
      <c r="K95" s="80">
        <v>1</v>
      </c>
      <c r="L95" s="80">
        <v>0</v>
      </c>
      <c r="M95" s="80">
        <v>0</v>
      </c>
      <c r="N95" s="80">
        <v>1</v>
      </c>
      <c r="O95" s="80">
        <v>1</v>
      </c>
      <c r="P95" s="94">
        <f t="shared" si="18"/>
        <v>64.285714285714292</v>
      </c>
      <c r="R95" s="85">
        <v>4</v>
      </c>
    </row>
    <row r="96" spans="1:18" x14ac:dyDescent="0.2">
      <c r="A96" s="86" t="s">
        <v>121</v>
      </c>
      <c r="B96" s="77">
        <v>1</v>
      </c>
      <c r="C96" s="77">
        <v>1</v>
      </c>
      <c r="D96" s="77">
        <v>1</v>
      </c>
      <c r="E96" s="80">
        <v>1</v>
      </c>
      <c r="F96" s="80">
        <v>1</v>
      </c>
      <c r="G96" s="77">
        <v>1</v>
      </c>
      <c r="H96" s="20">
        <v>1</v>
      </c>
      <c r="I96" s="20">
        <v>1</v>
      </c>
      <c r="J96" s="20">
        <v>1</v>
      </c>
      <c r="K96" s="80">
        <v>1</v>
      </c>
      <c r="L96" s="80">
        <v>1</v>
      </c>
      <c r="M96" s="80">
        <v>1</v>
      </c>
      <c r="N96" s="80">
        <v>1</v>
      </c>
      <c r="O96" s="80">
        <v>1</v>
      </c>
      <c r="P96" s="94">
        <f t="shared" si="18"/>
        <v>100</v>
      </c>
      <c r="R96" s="85">
        <v>4</v>
      </c>
    </row>
    <row r="97" spans="1:18" x14ac:dyDescent="0.2">
      <c r="A97" s="86" t="s">
        <v>122</v>
      </c>
      <c r="B97" s="77">
        <v>1</v>
      </c>
      <c r="C97" s="77">
        <v>1</v>
      </c>
      <c r="D97" s="77">
        <v>1</v>
      </c>
      <c r="E97" s="80">
        <v>0</v>
      </c>
      <c r="F97" s="80">
        <v>0</v>
      </c>
      <c r="G97" s="77">
        <v>1</v>
      </c>
      <c r="H97" s="20">
        <v>1</v>
      </c>
      <c r="I97" s="20">
        <v>1</v>
      </c>
      <c r="J97" s="20">
        <v>1</v>
      </c>
      <c r="K97" s="80">
        <v>1</v>
      </c>
      <c r="L97" s="80">
        <v>1</v>
      </c>
      <c r="M97" s="80">
        <v>1</v>
      </c>
      <c r="N97" s="80">
        <v>1</v>
      </c>
      <c r="O97" s="80">
        <v>1</v>
      </c>
      <c r="P97" s="94">
        <f t="shared" si="18"/>
        <v>85.714285714285708</v>
      </c>
      <c r="R97" s="85">
        <v>3</v>
      </c>
    </row>
    <row r="98" spans="1:18" x14ac:dyDescent="0.2">
      <c r="A98" s="86" t="s">
        <v>123</v>
      </c>
      <c r="B98" s="77">
        <v>1</v>
      </c>
      <c r="C98" s="77">
        <v>1</v>
      </c>
      <c r="D98" s="77">
        <v>1</v>
      </c>
      <c r="E98" s="80">
        <v>1</v>
      </c>
      <c r="F98" s="80">
        <v>1</v>
      </c>
      <c r="G98" s="77">
        <v>1</v>
      </c>
      <c r="H98" s="20">
        <v>1</v>
      </c>
      <c r="I98" s="20">
        <v>0</v>
      </c>
      <c r="J98" s="20">
        <v>1</v>
      </c>
      <c r="K98" s="80">
        <v>1</v>
      </c>
      <c r="L98" s="80">
        <v>1</v>
      </c>
      <c r="M98" s="80">
        <v>1</v>
      </c>
      <c r="N98" s="80">
        <v>1</v>
      </c>
      <c r="O98" s="80">
        <v>1</v>
      </c>
      <c r="P98" s="94">
        <f t="shared" si="18"/>
        <v>92.857142857142861</v>
      </c>
      <c r="R98" s="85">
        <v>5</v>
      </c>
    </row>
    <row r="99" spans="1:18" x14ac:dyDescent="0.2">
      <c r="A99" s="86" t="s">
        <v>124</v>
      </c>
      <c r="B99" s="77">
        <v>1</v>
      </c>
      <c r="C99" s="77">
        <v>1</v>
      </c>
      <c r="D99" s="77">
        <v>1</v>
      </c>
      <c r="E99" s="80">
        <v>1</v>
      </c>
      <c r="F99" s="80">
        <v>1</v>
      </c>
      <c r="G99" s="77">
        <v>1</v>
      </c>
      <c r="H99" s="20">
        <v>1</v>
      </c>
      <c r="I99" s="20">
        <v>0</v>
      </c>
      <c r="J99" s="20">
        <v>0</v>
      </c>
      <c r="K99" s="80">
        <v>1</v>
      </c>
      <c r="L99" s="80">
        <v>1</v>
      </c>
      <c r="M99" s="80">
        <v>1</v>
      </c>
      <c r="N99" s="80">
        <v>1</v>
      </c>
      <c r="O99" s="80">
        <v>1</v>
      </c>
      <c r="P99" s="94">
        <f t="shared" si="18"/>
        <v>85.714285714285708</v>
      </c>
      <c r="R99" s="85">
        <v>5</v>
      </c>
    </row>
    <row r="100" spans="1:18" x14ac:dyDescent="0.2">
      <c r="A100" s="86" t="s">
        <v>110</v>
      </c>
      <c r="B100" s="77">
        <v>1</v>
      </c>
      <c r="C100" s="77">
        <v>1</v>
      </c>
      <c r="D100" s="77">
        <v>1</v>
      </c>
      <c r="E100" s="80">
        <v>1</v>
      </c>
      <c r="F100" s="80">
        <v>1</v>
      </c>
      <c r="G100" s="77">
        <v>1</v>
      </c>
      <c r="H100" s="20">
        <v>1</v>
      </c>
      <c r="I100" s="20">
        <v>1</v>
      </c>
      <c r="J100" s="20">
        <v>1</v>
      </c>
      <c r="K100" s="80">
        <v>1</v>
      </c>
      <c r="L100" s="80">
        <v>1</v>
      </c>
      <c r="M100" s="80">
        <v>1</v>
      </c>
      <c r="N100" s="80">
        <v>1</v>
      </c>
      <c r="O100" s="80">
        <v>1</v>
      </c>
      <c r="P100" s="94">
        <f t="shared" si="18"/>
        <v>100</v>
      </c>
      <c r="R100" s="85">
        <v>2</v>
      </c>
    </row>
    <row r="101" spans="1:18" x14ac:dyDescent="0.2">
      <c r="A101" s="86" t="s">
        <v>125</v>
      </c>
      <c r="B101" s="77">
        <v>1</v>
      </c>
      <c r="C101" s="77">
        <v>1</v>
      </c>
      <c r="D101" s="77">
        <v>1</v>
      </c>
      <c r="E101" s="80">
        <v>1</v>
      </c>
      <c r="F101" s="80">
        <v>1</v>
      </c>
      <c r="G101" s="77">
        <v>1</v>
      </c>
      <c r="H101" s="20">
        <v>1</v>
      </c>
      <c r="I101" s="20">
        <v>0</v>
      </c>
      <c r="J101" s="20">
        <v>1</v>
      </c>
      <c r="K101" s="80">
        <v>1</v>
      </c>
      <c r="L101" s="80">
        <v>1</v>
      </c>
      <c r="M101" s="80">
        <v>1</v>
      </c>
      <c r="N101" s="80">
        <v>1</v>
      </c>
      <c r="O101" s="80">
        <v>1</v>
      </c>
      <c r="P101" s="94">
        <f t="shared" si="18"/>
        <v>92.857142857142861</v>
      </c>
      <c r="R101" s="85">
        <v>1</v>
      </c>
    </row>
    <row r="102" spans="1:18" x14ac:dyDescent="0.2">
      <c r="A102" s="86" t="s">
        <v>111</v>
      </c>
      <c r="B102" s="77">
        <v>1</v>
      </c>
      <c r="C102" s="77">
        <v>1</v>
      </c>
      <c r="D102" s="77">
        <v>1</v>
      </c>
      <c r="E102" s="80">
        <v>1</v>
      </c>
      <c r="F102" s="80">
        <v>1</v>
      </c>
      <c r="G102" s="77">
        <v>1</v>
      </c>
      <c r="H102" s="20">
        <v>1</v>
      </c>
      <c r="I102" s="20">
        <v>0</v>
      </c>
      <c r="J102" s="20">
        <v>1</v>
      </c>
      <c r="K102" s="80">
        <v>1</v>
      </c>
      <c r="L102" s="80">
        <v>1</v>
      </c>
      <c r="M102" s="80">
        <v>1</v>
      </c>
      <c r="N102" s="80">
        <v>1</v>
      </c>
      <c r="O102" s="80">
        <v>1</v>
      </c>
      <c r="P102" s="94">
        <f t="shared" si="18"/>
        <v>92.857142857142861</v>
      </c>
      <c r="R102" s="85">
        <v>1</v>
      </c>
    </row>
    <row r="103" spans="1:18" x14ac:dyDescent="0.2">
      <c r="A103" s="86" t="s">
        <v>126</v>
      </c>
      <c r="B103" s="77">
        <v>1</v>
      </c>
      <c r="C103" s="77">
        <v>1</v>
      </c>
      <c r="D103" s="77">
        <v>1</v>
      </c>
      <c r="E103" s="80">
        <v>1</v>
      </c>
      <c r="F103" s="80">
        <v>1</v>
      </c>
      <c r="G103" s="77">
        <v>1</v>
      </c>
      <c r="H103" s="20">
        <v>1</v>
      </c>
      <c r="I103" s="20">
        <v>1</v>
      </c>
      <c r="J103" s="20">
        <v>1</v>
      </c>
      <c r="K103" s="80">
        <v>1</v>
      </c>
      <c r="L103" s="80">
        <v>1</v>
      </c>
      <c r="M103" s="80">
        <v>1</v>
      </c>
      <c r="N103" s="80">
        <v>1</v>
      </c>
      <c r="O103" s="80">
        <v>1</v>
      </c>
      <c r="P103" s="94">
        <f t="shared" si="18"/>
        <v>100</v>
      </c>
      <c r="R103" s="85">
        <v>3</v>
      </c>
    </row>
    <row r="104" spans="1:18" x14ac:dyDescent="0.2">
      <c r="A104" s="86" t="s">
        <v>112</v>
      </c>
      <c r="B104" s="77">
        <v>1</v>
      </c>
      <c r="C104" s="77">
        <v>1</v>
      </c>
      <c r="D104" s="77">
        <v>1</v>
      </c>
      <c r="E104" s="80">
        <v>1</v>
      </c>
      <c r="F104" s="80">
        <v>1</v>
      </c>
      <c r="G104" s="77">
        <v>1</v>
      </c>
      <c r="H104" s="20">
        <v>1</v>
      </c>
      <c r="I104" s="20">
        <v>0</v>
      </c>
      <c r="J104" s="20">
        <v>1</v>
      </c>
      <c r="K104" s="80">
        <v>1</v>
      </c>
      <c r="L104" s="80">
        <v>1</v>
      </c>
      <c r="M104" s="80">
        <v>1</v>
      </c>
      <c r="N104" s="80">
        <v>1</v>
      </c>
      <c r="O104" s="80">
        <v>1</v>
      </c>
      <c r="P104" s="94">
        <f t="shared" si="18"/>
        <v>92.857142857142861</v>
      </c>
      <c r="R104" s="85">
        <v>1</v>
      </c>
    </row>
    <row r="105" spans="1:18" x14ac:dyDescent="0.2">
      <c r="A105" s="86" t="s">
        <v>127</v>
      </c>
      <c r="B105" s="77">
        <v>1</v>
      </c>
      <c r="C105" s="77">
        <v>1</v>
      </c>
      <c r="D105" s="77">
        <v>1</v>
      </c>
      <c r="E105" s="80">
        <v>1</v>
      </c>
      <c r="F105" s="80">
        <v>1</v>
      </c>
      <c r="G105" s="77">
        <v>1</v>
      </c>
      <c r="H105" s="20">
        <v>1</v>
      </c>
      <c r="I105" s="20">
        <v>1</v>
      </c>
      <c r="J105" s="20">
        <v>1</v>
      </c>
      <c r="K105" s="80">
        <v>1</v>
      </c>
      <c r="L105" s="80">
        <v>1</v>
      </c>
      <c r="M105" s="80">
        <v>1</v>
      </c>
      <c r="N105" s="80">
        <v>1</v>
      </c>
      <c r="O105" s="80">
        <v>1</v>
      </c>
      <c r="P105" s="94">
        <f t="shared" si="18"/>
        <v>100</v>
      </c>
      <c r="R105" s="85">
        <v>4</v>
      </c>
    </row>
    <row r="106" spans="1:18" x14ac:dyDescent="0.2">
      <c r="A106" s="86" t="s">
        <v>128</v>
      </c>
      <c r="B106" s="77">
        <v>1</v>
      </c>
      <c r="C106" s="77">
        <v>1</v>
      </c>
      <c r="D106" s="77">
        <v>1</v>
      </c>
      <c r="E106" s="80">
        <v>1</v>
      </c>
      <c r="F106" s="80">
        <v>1</v>
      </c>
      <c r="G106" s="77">
        <v>1</v>
      </c>
      <c r="H106" s="20">
        <v>1</v>
      </c>
      <c r="I106" s="20">
        <v>1</v>
      </c>
      <c r="J106" s="20">
        <v>1</v>
      </c>
      <c r="K106" s="80">
        <v>1</v>
      </c>
      <c r="L106" s="80">
        <v>1</v>
      </c>
      <c r="M106" s="80">
        <v>1</v>
      </c>
      <c r="N106" s="80">
        <v>1</v>
      </c>
      <c r="O106" s="80">
        <v>1</v>
      </c>
      <c r="P106" s="94">
        <f t="shared" si="18"/>
        <v>100</v>
      </c>
      <c r="R106" s="85">
        <v>4</v>
      </c>
    </row>
    <row r="107" spans="1:18" x14ac:dyDescent="0.2">
      <c r="A107" s="86" t="s">
        <v>113</v>
      </c>
      <c r="B107" s="77">
        <v>1</v>
      </c>
      <c r="C107" s="77">
        <v>1</v>
      </c>
      <c r="D107" s="77">
        <v>1</v>
      </c>
      <c r="E107" s="80">
        <v>1</v>
      </c>
      <c r="F107" s="80">
        <v>1</v>
      </c>
      <c r="G107" s="77">
        <v>1</v>
      </c>
      <c r="H107" s="20">
        <v>1</v>
      </c>
      <c r="I107" s="20">
        <v>0</v>
      </c>
      <c r="J107" s="20">
        <v>0</v>
      </c>
      <c r="K107" s="80">
        <v>1</v>
      </c>
      <c r="L107" s="80">
        <v>1</v>
      </c>
      <c r="M107" s="80">
        <v>1</v>
      </c>
      <c r="N107" s="80">
        <v>1</v>
      </c>
      <c r="O107" s="80">
        <v>1</v>
      </c>
      <c r="P107" s="94">
        <f t="shared" si="18"/>
        <v>85.714285714285708</v>
      </c>
      <c r="R107" s="85">
        <v>5</v>
      </c>
    </row>
    <row r="108" spans="1:18" x14ac:dyDescent="0.2">
      <c r="A108" s="86" t="s">
        <v>114</v>
      </c>
      <c r="B108" s="77">
        <v>1</v>
      </c>
      <c r="C108" s="77">
        <v>1</v>
      </c>
      <c r="D108" s="77">
        <v>1</v>
      </c>
      <c r="E108" s="80">
        <v>1</v>
      </c>
      <c r="F108" s="80">
        <v>1</v>
      </c>
      <c r="G108" s="77">
        <v>1</v>
      </c>
      <c r="H108" s="20">
        <v>1</v>
      </c>
      <c r="I108" s="20">
        <v>1</v>
      </c>
      <c r="J108" s="20">
        <v>1</v>
      </c>
      <c r="K108" s="80">
        <v>1</v>
      </c>
      <c r="L108" s="80">
        <v>1</v>
      </c>
      <c r="M108" s="80">
        <v>1</v>
      </c>
      <c r="N108" s="80">
        <v>1</v>
      </c>
      <c r="O108" s="80">
        <v>1</v>
      </c>
      <c r="P108" s="94">
        <f t="shared" si="18"/>
        <v>100</v>
      </c>
      <c r="R108" s="85">
        <v>2</v>
      </c>
    </row>
    <row r="109" spans="1:18" x14ac:dyDescent="0.2">
      <c r="A109" s="86" t="s">
        <v>106</v>
      </c>
      <c r="B109" s="77">
        <v>1</v>
      </c>
      <c r="C109" s="77">
        <v>1</v>
      </c>
      <c r="D109" s="77">
        <v>1</v>
      </c>
      <c r="E109" s="80">
        <v>1</v>
      </c>
      <c r="F109" s="80">
        <v>1</v>
      </c>
      <c r="G109" s="77">
        <v>1</v>
      </c>
      <c r="H109" s="20">
        <v>1</v>
      </c>
      <c r="I109" s="20">
        <v>1</v>
      </c>
      <c r="J109" s="20">
        <v>1</v>
      </c>
      <c r="K109" s="80">
        <v>1</v>
      </c>
      <c r="L109" s="80">
        <v>1</v>
      </c>
      <c r="M109" s="80">
        <v>1</v>
      </c>
      <c r="N109" s="80">
        <v>1</v>
      </c>
      <c r="O109" s="80">
        <v>1</v>
      </c>
      <c r="P109" s="94">
        <f t="shared" si="18"/>
        <v>100</v>
      </c>
      <c r="R109" s="85">
        <v>3</v>
      </c>
    </row>
    <row r="110" spans="1:18" x14ac:dyDescent="0.2">
      <c r="A110" s="86" t="s">
        <v>108</v>
      </c>
      <c r="B110" s="77">
        <v>1</v>
      </c>
      <c r="C110" s="77">
        <v>1</v>
      </c>
      <c r="D110" s="77">
        <v>1</v>
      </c>
      <c r="E110" s="80">
        <v>1</v>
      </c>
      <c r="F110" s="80">
        <v>0</v>
      </c>
      <c r="G110" s="77">
        <v>1</v>
      </c>
      <c r="H110" s="20">
        <v>1</v>
      </c>
      <c r="I110" s="20">
        <v>0</v>
      </c>
      <c r="J110" s="20">
        <v>0</v>
      </c>
      <c r="K110" s="80">
        <v>1</v>
      </c>
      <c r="L110" s="80">
        <v>1</v>
      </c>
      <c r="M110" s="80">
        <v>1</v>
      </c>
      <c r="N110" s="80">
        <v>1</v>
      </c>
      <c r="O110" s="80">
        <v>1</v>
      </c>
      <c r="P110" s="94">
        <f t="shared" si="18"/>
        <v>78.571428571428569</v>
      </c>
      <c r="R110" s="85">
        <v>5</v>
      </c>
    </row>
    <row r="112" spans="1:18" x14ac:dyDescent="0.2">
      <c r="A112" s="116" t="s">
        <v>137</v>
      </c>
      <c r="B112" s="116"/>
      <c r="C112" s="116"/>
      <c r="D112" s="116"/>
      <c r="E112" s="116"/>
      <c r="F112" s="116"/>
      <c r="G112" s="116"/>
    </row>
    <row r="113" spans="1:10" ht="38.25" x14ac:dyDescent="0.2">
      <c r="A113" s="102" t="s">
        <v>1</v>
      </c>
      <c r="B113" s="95" t="s">
        <v>138</v>
      </c>
      <c r="C113" s="95" t="s">
        <v>139</v>
      </c>
      <c r="D113" s="95" t="s">
        <v>140</v>
      </c>
      <c r="E113" s="95" t="s">
        <v>141</v>
      </c>
      <c r="F113" s="95" t="s">
        <v>142</v>
      </c>
      <c r="G113" s="95" t="s">
        <v>47</v>
      </c>
    </row>
    <row r="114" spans="1:10" x14ac:dyDescent="0.2">
      <c r="A114" s="86" t="s">
        <v>115</v>
      </c>
      <c r="B114" s="80">
        <v>95</v>
      </c>
      <c r="C114" s="80">
        <v>95</v>
      </c>
      <c r="D114" s="80">
        <v>100</v>
      </c>
      <c r="E114" s="80">
        <v>100</v>
      </c>
      <c r="F114" s="80">
        <v>100</v>
      </c>
      <c r="G114" s="94">
        <f>AVERAGE(B114:F114)</f>
        <v>98</v>
      </c>
      <c r="I114" s="85">
        <v>2</v>
      </c>
    </row>
    <row r="115" spans="1:10" x14ac:dyDescent="0.2">
      <c r="A115" s="86" t="s">
        <v>116</v>
      </c>
      <c r="B115" s="80">
        <v>95</v>
      </c>
      <c r="C115" s="80">
        <v>95</v>
      </c>
      <c r="D115" s="80">
        <v>100</v>
      </c>
      <c r="E115" s="80">
        <v>100</v>
      </c>
      <c r="F115" s="80">
        <v>100</v>
      </c>
      <c r="G115" s="94">
        <f t="shared" ref="G115:G137" si="19">AVERAGE(B115:F115)</f>
        <v>98</v>
      </c>
      <c r="I115" s="85">
        <v>3</v>
      </c>
    </row>
    <row r="116" spans="1:10" x14ac:dyDescent="0.2">
      <c r="A116" s="86" t="s">
        <v>117</v>
      </c>
      <c r="B116" s="80">
        <v>95</v>
      </c>
      <c r="C116" s="80">
        <v>95</v>
      </c>
      <c r="D116" s="80">
        <v>100</v>
      </c>
      <c r="E116" s="80">
        <v>100</v>
      </c>
      <c r="F116" s="80">
        <v>100</v>
      </c>
      <c r="G116" s="94">
        <f t="shared" si="19"/>
        <v>98</v>
      </c>
      <c r="I116" s="85">
        <v>3</v>
      </c>
    </row>
    <row r="117" spans="1:10" x14ac:dyDescent="0.2">
      <c r="A117" s="86" t="s">
        <v>118</v>
      </c>
      <c r="B117" s="80">
        <v>95</v>
      </c>
      <c r="C117" s="80">
        <v>95</v>
      </c>
      <c r="D117" s="80">
        <v>100</v>
      </c>
      <c r="E117" s="80">
        <v>100</v>
      </c>
      <c r="F117" s="80">
        <v>100</v>
      </c>
      <c r="G117" s="94">
        <f t="shared" si="19"/>
        <v>98</v>
      </c>
      <c r="I117" s="85">
        <v>2</v>
      </c>
    </row>
    <row r="118" spans="1:10" x14ac:dyDescent="0.2">
      <c r="A118" s="86" t="s">
        <v>119</v>
      </c>
      <c r="B118" s="80">
        <v>95</v>
      </c>
      <c r="C118" s="80">
        <v>95</v>
      </c>
      <c r="D118" s="80">
        <v>100</v>
      </c>
      <c r="E118" s="80">
        <v>100</v>
      </c>
      <c r="F118" s="80">
        <v>100</v>
      </c>
      <c r="G118" s="94">
        <f t="shared" si="19"/>
        <v>98</v>
      </c>
      <c r="I118" s="85">
        <v>2</v>
      </c>
    </row>
    <row r="119" spans="1:10" x14ac:dyDescent="0.2">
      <c r="A119" s="86" t="s">
        <v>107</v>
      </c>
      <c r="B119" s="80">
        <v>95</v>
      </c>
      <c r="C119" s="80">
        <v>100</v>
      </c>
      <c r="D119" s="80">
        <v>100</v>
      </c>
      <c r="E119" s="80">
        <v>100</v>
      </c>
      <c r="F119" s="80">
        <v>100</v>
      </c>
      <c r="G119" s="94">
        <f t="shared" si="19"/>
        <v>99</v>
      </c>
      <c r="I119" s="85">
        <v>1</v>
      </c>
    </row>
    <row r="120" spans="1:10" x14ac:dyDescent="0.2">
      <c r="A120" s="86" t="s">
        <v>135</v>
      </c>
      <c r="B120" s="80">
        <v>100</v>
      </c>
      <c r="C120" s="80">
        <v>100</v>
      </c>
      <c r="D120" s="80">
        <v>100</v>
      </c>
      <c r="E120" s="80">
        <v>0</v>
      </c>
      <c r="F120" s="80">
        <v>100</v>
      </c>
      <c r="G120" s="94">
        <f t="shared" si="19"/>
        <v>80</v>
      </c>
      <c r="I120" s="85">
        <v>4</v>
      </c>
      <c r="J120" s="1"/>
    </row>
    <row r="121" spans="1:10" x14ac:dyDescent="0.2">
      <c r="A121" s="86" t="s">
        <v>120</v>
      </c>
      <c r="B121" s="80">
        <v>95</v>
      </c>
      <c r="C121" s="80">
        <v>100</v>
      </c>
      <c r="D121" s="80">
        <v>100</v>
      </c>
      <c r="E121" s="80">
        <v>100</v>
      </c>
      <c r="F121" s="80">
        <v>100</v>
      </c>
      <c r="G121" s="94">
        <f t="shared" si="19"/>
        <v>99</v>
      </c>
      <c r="I121" s="85">
        <v>1</v>
      </c>
    </row>
    <row r="122" spans="1:10" x14ac:dyDescent="0.2">
      <c r="A122" s="86" t="s">
        <v>109</v>
      </c>
      <c r="B122" s="80">
        <v>100</v>
      </c>
      <c r="C122" s="80">
        <v>100</v>
      </c>
      <c r="D122" s="80">
        <v>100</v>
      </c>
      <c r="E122" s="80">
        <v>100</v>
      </c>
      <c r="F122" s="80">
        <v>100</v>
      </c>
      <c r="G122" s="94">
        <f t="shared" si="19"/>
        <v>100</v>
      </c>
      <c r="I122" s="85">
        <v>4</v>
      </c>
    </row>
    <row r="123" spans="1:10" x14ac:dyDescent="0.2">
      <c r="A123" s="86" t="s">
        <v>121</v>
      </c>
      <c r="B123" s="80">
        <v>100</v>
      </c>
      <c r="C123" s="80">
        <v>100</v>
      </c>
      <c r="D123" s="80">
        <v>100</v>
      </c>
      <c r="E123" s="80">
        <v>100</v>
      </c>
      <c r="F123" s="80">
        <v>100</v>
      </c>
      <c r="G123" s="94">
        <f t="shared" si="19"/>
        <v>100</v>
      </c>
      <c r="I123" s="85">
        <v>4</v>
      </c>
    </row>
    <row r="124" spans="1:10" x14ac:dyDescent="0.2">
      <c r="A124" s="86" t="s">
        <v>122</v>
      </c>
      <c r="B124" s="80">
        <v>95</v>
      </c>
      <c r="C124" s="80">
        <v>95</v>
      </c>
      <c r="D124" s="80">
        <v>100</v>
      </c>
      <c r="E124" s="80">
        <v>100</v>
      </c>
      <c r="F124" s="80">
        <v>100</v>
      </c>
      <c r="G124" s="94">
        <f t="shared" si="19"/>
        <v>98</v>
      </c>
      <c r="I124" s="85">
        <v>3</v>
      </c>
    </row>
    <row r="125" spans="1:10" x14ac:dyDescent="0.2">
      <c r="A125" s="86" t="s">
        <v>123</v>
      </c>
      <c r="B125" s="80">
        <v>95</v>
      </c>
      <c r="C125" s="80">
        <v>90</v>
      </c>
      <c r="D125" s="80">
        <v>100</v>
      </c>
      <c r="E125" s="80">
        <v>100</v>
      </c>
      <c r="F125" s="80">
        <v>100</v>
      </c>
      <c r="G125" s="94">
        <f t="shared" si="19"/>
        <v>97</v>
      </c>
      <c r="I125" s="85">
        <v>5</v>
      </c>
    </row>
    <row r="126" spans="1:10" x14ac:dyDescent="0.2">
      <c r="A126" s="86" t="s">
        <v>124</v>
      </c>
      <c r="B126" s="80">
        <v>95</v>
      </c>
      <c r="C126" s="80">
        <v>90</v>
      </c>
      <c r="D126" s="80">
        <v>100</v>
      </c>
      <c r="E126" s="80">
        <v>100</v>
      </c>
      <c r="F126" s="80">
        <v>100</v>
      </c>
      <c r="G126" s="94">
        <f t="shared" si="19"/>
        <v>97</v>
      </c>
      <c r="I126" s="85">
        <v>5</v>
      </c>
    </row>
    <row r="127" spans="1:10" x14ac:dyDescent="0.2">
      <c r="A127" s="86" t="s">
        <v>110</v>
      </c>
      <c r="B127" s="80">
        <v>95</v>
      </c>
      <c r="C127" s="80">
        <v>95</v>
      </c>
      <c r="D127" s="80">
        <v>100</v>
      </c>
      <c r="E127" s="80">
        <v>100</v>
      </c>
      <c r="F127" s="80">
        <v>100</v>
      </c>
      <c r="G127" s="94">
        <f t="shared" si="19"/>
        <v>98</v>
      </c>
      <c r="I127" s="85">
        <v>2</v>
      </c>
    </row>
    <row r="128" spans="1:10" x14ac:dyDescent="0.2">
      <c r="A128" s="86" t="s">
        <v>125</v>
      </c>
      <c r="B128" s="80">
        <v>95</v>
      </c>
      <c r="C128" s="80">
        <v>100</v>
      </c>
      <c r="D128" s="80">
        <v>100</v>
      </c>
      <c r="E128" s="80">
        <v>100</v>
      </c>
      <c r="F128" s="80">
        <v>100</v>
      </c>
      <c r="G128" s="94">
        <f t="shared" si="19"/>
        <v>99</v>
      </c>
      <c r="I128" s="85">
        <v>1</v>
      </c>
    </row>
    <row r="129" spans="1:18" x14ac:dyDescent="0.2">
      <c r="A129" s="86" t="s">
        <v>111</v>
      </c>
      <c r="B129" s="80">
        <v>95</v>
      </c>
      <c r="C129" s="80">
        <v>100</v>
      </c>
      <c r="D129" s="80">
        <v>100</v>
      </c>
      <c r="E129" s="80">
        <v>100</v>
      </c>
      <c r="F129" s="80">
        <v>100</v>
      </c>
      <c r="G129" s="94">
        <f t="shared" si="19"/>
        <v>99</v>
      </c>
      <c r="I129" s="85">
        <v>1</v>
      </c>
    </row>
    <row r="130" spans="1:18" x14ac:dyDescent="0.2">
      <c r="A130" s="86" t="s">
        <v>126</v>
      </c>
      <c r="B130" s="80">
        <v>95</v>
      </c>
      <c r="C130" s="80">
        <v>95</v>
      </c>
      <c r="D130" s="80">
        <v>100</v>
      </c>
      <c r="E130" s="80">
        <v>100</v>
      </c>
      <c r="F130" s="80">
        <v>100</v>
      </c>
      <c r="G130" s="94">
        <f t="shared" si="19"/>
        <v>98</v>
      </c>
      <c r="I130" s="85">
        <v>3</v>
      </c>
    </row>
    <row r="131" spans="1:18" x14ac:dyDescent="0.2">
      <c r="A131" s="86" t="s">
        <v>112</v>
      </c>
      <c r="B131" s="80">
        <v>95</v>
      </c>
      <c r="C131" s="80">
        <v>100</v>
      </c>
      <c r="D131" s="80">
        <v>100</v>
      </c>
      <c r="E131" s="80">
        <v>100</v>
      </c>
      <c r="F131" s="80">
        <v>100</v>
      </c>
      <c r="G131" s="94">
        <f t="shared" si="19"/>
        <v>99</v>
      </c>
      <c r="I131" s="85">
        <v>1</v>
      </c>
    </row>
    <row r="132" spans="1:18" x14ac:dyDescent="0.2">
      <c r="A132" s="86" t="s">
        <v>127</v>
      </c>
      <c r="B132" s="80">
        <v>100</v>
      </c>
      <c r="C132" s="80">
        <v>100</v>
      </c>
      <c r="D132" s="80">
        <v>100</v>
      </c>
      <c r="E132" s="80">
        <v>100</v>
      </c>
      <c r="F132" s="80">
        <v>100</v>
      </c>
      <c r="G132" s="94">
        <f t="shared" si="19"/>
        <v>100</v>
      </c>
      <c r="I132" s="85">
        <v>4</v>
      </c>
    </row>
    <row r="133" spans="1:18" x14ac:dyDescent="0.2">
      <c r="A133" s="86" t="s">
        <v>128</v>
      </c>
      <c r="B133" s="80">
        <v>100</v>
      </c>
      <c r="C133" s="80">
        <v>100</v>
      </c>
      <c r="D133" s="80">
        <v>100</v>
      </c>
      <c r="E133" s="80">
        <v>100</v>
      </c>
      <c r="F133" s="80">
        <v>100</v>
      </c>
      <c r="G133" s="94">
        <f t="shared" si="19"/>
        <v>100</v>
      </c>
      <c r="I133" s="85">
        <v>4</v>
      </c>
    </row>
    <row r="134" spans="1:18" x14ac:dyDescent="0.2">
      <c r="A134" s="86" t="s">
        <v>113</v>
      </c>
      <c r="B134" s="80">
        <v>95</v>
      </c>
      <c r="C134" s="80">
        <v>90</v>
      </c>
      <c r="D134" s="80">
        <v>100</v>
      </c>
      <c r="E134" s="80">
        <v>100</v>
      </c>
      <c r="F134" s="80">
        <v>100</v>
      </c>
      <c r="G134" s="94">
        <f t="shared" si="19"/>
        <v>97</v>
      </c>
      <c r="I134" s="85">
        <v>5</v>
      </c>
    </row>
    <row r="135" spans="1:18" x14ac:dyDescent="0.2">
      <c r="A135" s="86" t="s">
        <v>114</v>
      </c>
      <c r="B135" s="80">
        <v>95</v>
      </c>
      <c r="C135" s="80">
        <v>95</v>
      </c>
      <c r="D135" s="80">
        <v>100</v>
      </c>
      <c r="E135" s="80">
        <v>100</v>
      </c>
      <c r="F135" s="80">
        <v>100</v>
      </c>
      <c r="G135" s="94">
        <f t="shared" si="19"/>
        <v>98</v>
      </c>
      <c r="I135" s="85">
        <v>2</v>
      </c>
    </row>
    <row r="136" spans="1:18" x14ac:dyDescent="0.2">
      <c r="A136" s="86" t="s">
        <v>106</v>
      </c>
      <c r="B136" s="80">
        <v>95</v>
      </c>
      <c r="C136" s="80">
        <v>95</v>
      </c>
      <c r="D136" s="80">
        <v>100</v>
      </c>
      <c r="E136" s="80">
        <v>100</v>
      </c>
      <c r="F136" s="80">
        <v>100</v>
      </c>
      <c r="G136" s="94">
        <f t="shared" si="19"/>
        <v>98</v>
      </c>
      <c r="I136" s="85">
        <v>3</v>
      </c>
    </row>
    <row r="137" spans="1:18" x14ac:dyDescent="0.2">
      <c r="A137" s="86" t="s">
        <v>108</v>
      </c>
      <c r="B137" s="80">
        <v>95</v>
      </c>
      <c r="C137" s="80">
        <v>90</v>
      </c>
      <c r="D137" s="80">
        <v>100</v>
      </c>
      <c r="E137" s="80">
        <v>100</v>
      </c>
      <c r="F137" s="80">
        <v>100</v>
      </c>
      <c r="G137" s="94">
        <f t="shared" si="19"/>
        <v>97</v>
      </c>
      <c r="I137" s="85">
        <v>5</v>
      </c>
    </row>
    <row r="139" spans="1:18" x14ac:dyDescent="0.2">
      <c r="A139" s="113" t="s">
        <v>158</v>
      </c>
      <c r="B139" s="114"/>
      <c r="C139" s="114"/>
      <c r="D139" s="114"/>
      <c r="E139" s="114"/>
      <c r="F139" s="114"/>
      <c r="G139" s="114"/>
    </row>
    <row r="140" spans="1:18" x14ac:dyDescent="0.2">
      <c r="A140" s="3" t="s">
        <v>1</v>
      </c>
      <c r="B140" s="91" t="s">
        <v>94</v>
      </c>
      <c r="C140" s="91" t="s">
        <v>95</v>
      </c>
      <c r="D140" s="91" t="s">
        <v>145</v>
      </c>
      <c r="E140" s="91" t="s">
        <v>146</v>
      </c>
      <c r="F140" s="91" t="s">
        <v>159</v>
      </c>
      <c r="G140" s="91" t="s">
        <v>47</v>
      </c>
    </row>
    <row r="141" spans="1:18" x14ac:dyDescent="0.2">
      <c r="A141" s="86" t="s">
        <v>107</v>
      </c>
      <c r="B141" s="80">
        <v>100</v>
      </c>
      <c r="C141" s="80">
        <v>100</v>
      </c>
      <c r="D141" s="80">
        <v>100</v>
      </c>
      <c r="E141" s="80">
        <v>100</v>
      </c>
      <c r="F141" s="80">
        <v>100</v>
      </c>
      <c r="G141" s="94">
        <f>AVERAGE(B141:F141)</f>
        <v>100</v>
      </c>
      <c r="I141" s="107"/>
      <c r="J141" s="107"/>
      <c r="K141" s="107"/>
      <c r="L141" s="107"/>
      <c r="M141" s="107"/>
      <c r="N141" s="107"/>
      <c r="O141" s="107"/>
      <c r="P141" s="107"/>
      <c r="Q141" s="107"/>
      <c r="R141" s="38"/>
    </row>
    <row r="142" spans="1:18" x14ac:dyDescent="0.2">
      <c r="A142" s="86" t="s">
        <v>120</v>
      </c>
      <c r="B142" s="80">
        <v>100</v>
      </c>
      <c r="C142" s="80">
        <v>100</v>
      </c>
      <c r="D142" s="80">
        <v>100</v>
      </c>
      <c r="E142" s="80">
        <v>100</v>
      </c>
      <c r="F142" s="80">
        <v>93</v>
      </c>
      <c r="G142" s="94">
        <f>AVERAGE(B142:F142)</f>
        <v>98.6</v>
      </c>
      <c r="I142" s="107"/>
      <c r="J142" s="107"/>
      <c r="K142" s="107"/>
      <c r="L142" s="107"/>
      <c r="M142" s="107"/>
      <c r="N142" s="107"/>
      <c r="O142" s="107"/>
      <c r="P142" s="107"/>
      <c r="Q142" s="107"/>
      <c r="R142" s="38"/>
    </row>
    <row r="143" spans="1:18" x14ac:dyDescent="0.2">
      <c r="A143" s="86" t="s">
        <v>125</v>
      </c>
      <c r="B143" s="80">
        <v>100</v>
      </c>
      <c r="C143" s="80">
        <v>100</v>
      </c>
      <c r="D143" s="80">
        <v>100</v>
      </c>
      <c r="E143" s="80">
        <v>100</v>
      </c>
      <c r="F143" s="80">
        <v>96</v>
      </c>
      <c r="G143" s="94">
        <f>AVERAGE(B143:F143)</f>
        <v>99.2</v>
      </c>
      <c r="I143" s="107"/>
      <c r="J143" s="107"/>
      <c r="K143" s="107"/>
      <c r="L143" s="107"/>
      <c r="M143" s="107"/>
      <c r="N143" s="107"/>
      <c r="O143" s="107"/>
      <c r="P143" s="107"/>
      <c r="Q143" s="107"/>
      <c r="R143" s="38"/>
    </row>
    <row r="144" spans="1:18" x14ac:dyDescent="0.2">
      <c r="A144" s="86" t="s">
        <v>111</v>
      </c>
      <c r="B144" s="80">
        <v>100</v>
      </c>
      <c r="C144" s="80">
        <v>100</v>
      </c>
      <c r="D144" s="80">
        <v>100</v>
      </c>
      <c r="E144" s="80">
        <v>100</v>
      </c>
      <c r="F144" s="80">
        <v>85</v>
      </c>
      <c r="G144" s="94">
        <f>AVERAGE(B144:F144)</f>
        <v>97</v>
      </c>
      <c r="I144" s="107"/>
      <c r="J144" s="107"/>
      <c r="K144" s="107"/>
      <c r="L144" s="107"/>
      <c r="M144" s="107"/>
      <c r="N144" s="107"/>
      <c r="O144" s="107"/>
      <c r="P144" s="107"/>
      <c r="Q144" s="107"/>
      <c r="R144" s="38"/>
    </row>
    <row r="145" spans="1:18" x14ac:dyDescent="0.2">
      <c r="A145" s="86" t="s">
        <v>112</v>
      </c>
      <c r="B145" s="80">
        <v>100</v>
      </c>
      <c r="C145" s="80">
        <v>100</v>
      </c>
      <c r="D145" s="80">
        <v>100</v>
      </c>
      <c r="E145" s="80">
        <v>100</v>
      </c>
      <c r="F145" s="80">
        <v>89</v>
      </c>
      <c r="G145" s="94">
        <f>AVERAGE(B145:F145)</f>
        <v>97.8</v>
      </c>
      <c r="I145" s="107"/>
      <c r="J145" s="107"/>
      <c r="K145" s="107"/>
      <c r="L145" s="107"/>
      <c r="M145" s="107"/>
      <c r="N145" s="107"/>
      <c r="O145" s="107"/>
      <c r="P145" s="107"/>
      <c r="Q145" s="107"/>
      <c r="R145" s="38"/>
    </row>
    <row r="147" spans="1:18" x14ac:dyDescent="0.2">
      <c r="A147" s="113" t="s">
        <v>160</v>
      </c>
      <c r="B147" s="114"/>
      <c r="C147" s="114"/>
      <c r="D147" s="114"/>
      <c r="E147" s="114"/>
      <c r="F147" s="114"/>
      <c r="G147" s="114"/>
    </row>
    <row r="148" spans="1:18" x14ac:dyDescent="0.2">
      <c r="A148" s="3" t="s">
        <v>1</v>
      </c>
      <c r="B148" s="91" t="s">
        <v>94</v>
      </c>
      <c r="C148" s="91" t="s">
        <v>95</v>
      </c>
      <c r="D148" s="91" t="s">
        <v>145</v>
      </c>
      <c r="E148" s="91" t="s">
        <v>146</v>
      </c>
      <c r="F148" s="91" t="s">
        <v>159</v>
      </c>
      <c r="G148" s="91" t="s">
        <v>47</v>
      </c>
    </row>
    <row r="149" spans="1:18" x14ac:dyDescent="0.2">
      <c r="A149" s="86" t="s">
        <v>115</v>
      </c>
      <c r="B149" s="80">
        <v>96</v>
      </c>
      <c r="C149" s="80">
        <v>100</v>
      </c>
      <c r="D149" s="80">
        <v>100</v>
      </c>
      <c r="E149" s="80">
        <v>100</v>
      </c>
      <c r="F149" s="80">
        <v>100</v>
      </c>
      <c r="G149" s="94">
        <f>AVERAGE(B149:F149)</f>
        <v>99.2</v>
      </c>
    </row>
    <row r="150" spans="1:18" x14ac:dyDescent="0.2">
      <c r="A150" s="86" t="s">
        <v>118</v>
      </c>
      <c r="B150" s="80">
        <v>96</v>
      </c>
      <c r="C150" s="80">
        <v>96</v>
      </c>
      <c r="D150" s="80">
        <v>100</v>
      </c>
      <c r="E150" s="80">
        <v>81</v>
      </c>
      <c r="F150" s="80">
        <v>100</v>
      </c>
      <c r="G150" s="94">
        <f>AVERAGE(B150:F150)</f>
        <v>94.6</v>
      </c>
    </row>
    <row r="151" spans="1:18" x14ac:dyDescent="0.2">
      <c r="A151" s="86" t="s">
        <v>119</v>
      </c>
      <c r="B151" s="80">
        <v>59</v>
      </c>
      <c r="C151" s="80">
        <v>44</v>
      </c>
      <c r="D151" s="80">
        <v>85</v>
      </c>
      <c r="E151" s="80">
        <v>44</v>
      </c>
      <c r="F151" s="80">
        <v>93</v>
      </c>
      <c r="G151" s="94">
        <f>AVERAGE(B151:F151)</f>
        <v>65</v>
      </c>
    </row>
    <row r="152" spans="1:18" x14ac:dyDescent="0.2">
      <c r="A152" s="86" t="s">
        <v>110</v>
      </c>
      <c r="B152" s="80">
        <v>93</v>
      </c>
      <c r="C152" s="80">
        <v>93</v>
      </c>
      <c r="D152" s="80">
        <v>85</v>
      </c>
      <c r="E152" s="80">
        <v>100</v>
      </c>
      <c r="F152" s="80">
        <v>100</v>
      </c>
      <c r="G152" s="94">
        <f>AVERAGE(B152:F152)</f>
        <v>94.2</v>
      </c>
    </row>
    <row r="153" spans="1:18" x14ac:dyDescent="0.2">
      <c r="A153" s="86" t="s">
        <v>114</v>
      </c>
      <c r="B153" s="80">
        <v>100</v>
      </c>
      <c r="C153" s="80">
        <v>85</v>
      </c>
      <c r="D153" s="80">
        <v>96</v>
      </c>
      <c r="E153" s="80">
        <v>96</v>
      </c>
      <c r="F153" s="80">
        <v>93</v>
      </c>
      <c r="G153" s="94">
        <f>AVERAGE(B153:F153)</f>
        <v>94</v>
      </c>
    </row>
    <row r="155" spans="1:18" x14ac:dyDescent="0.2">
      <c r="A155" s="113" t="s">
        <v>161</v>
      </c>
      <c r="B155" s="114"/>
      <c r="C155" s="114"/>
      <c r="D155" s="114"/>
      <c r="E155" s="114"/>
      <c r="F155" s="114"/>
      <c r="G155" s="114"/>
    </row>
    <row r="156" spans="1:18" x14ac:dyDescent="0.2">
      <c r="A156" s="3" t="s">
        <v>1</v>
      </c>
      <c r="B156" s="91" t="s">
        <v>94</v>
      </c>
      <c r="C156" s="91" t="s">
        <v>95</v>
      </c>
      <c r="D156" s="91" t="s">
        <v>145</v>
      </c>
      <c r="E156" s="91" t="s">
        <v>146</v>
      </c>
      <c r="F156" s="91" t="s">
        <v>159</v>
      </c>
      <c r="G156" s="91" t="s">
        <v>47</v>
      </c>
    </row>
    <row r="157" spans="1:18" x14ac:dyDescent="0.2">
      <c r="A157" s="86" t="s">
        <v>116</v>
      </c>
      <c r="B157" s="80">
        <v>100</v>
      </c>
      <c r="C157" s="80">
        <v>100</v>
      </c>
      <c r="D157" s="80">
        <v>67</v>
      </c>
      <c r="E157" s="80">
        <v>96</v>
      </c>
      <c r="F157" s="80">
        <v>100</v>
      </c>
      <c r="G157" s="94">
        <f>AVERAGE(B157:F157)</f>
        <v>92.6</v>
      </c>
    </row>
    <row r="158" spans="1:18" x14ac:dyDescent="0.2">
      <c r="A158" s="86" t="s">
        <v>117</v>
      </c>
      <c r="B158" s="80">
        <v>100</v>
      </c>
      <c r="C158" s="80">
        <v>100</v>
      </c>
      <c r="D158" s="80">
        <v>48</v>
      </c>
      <c r="E158" s="80">
        <v>96</v>
      </c>
      <c r="F158" s="80">
        <v>100</v>
      </c>
      <c r="G158" s="94">
        <f>AVERAGE(B158:F158)</f>
        <v>88.8</v>
      </c>
    </row>
    <row r="159" spans="1:18" x14ac:dyDescent="0.2">
      <c r="A159" s="86" t="s">
        <v>122</v>
      </c>
      <c r="B159" s="80">
        <v>100</v>
      </c>
      <c r="C159" s="80">
        <v>100</v>
      </c>
      <c r="D159" s="80">
        <v>70</v>
      </c>
      <c r="E159" s="80">
        <v>96</v>
      </c>
      <c r="F159" s="80">
        <v>100</v>
      </c>
      <c r="G159" s="94">
        <f>AVERAGE(B159:F159)</f>
        <v>93.2</v>
      </c>
    </row>
    <row r="160" spans="1:18" x14ac:dyDescent="0.2">
      <c r="A160" s="86" t="s">
        <v>126</v>
      </c>
      <c r="B160" s="80">
        <v>100</v>
      </c>
      <c r="C160" s="80">
        <v>100</v>
      </c>
      <c r="D160" s="80">
        <v>70</v>
      </c>
      <c r="E160" s="80">
        <v>100</v>
      </c>
      <c r="F160" s="80">
        <v>100</v>
      </c>
      <c r="G160" s="94">
        <f>AVERAGE(B160:F160)</f>
        <v>94</v>
      </c>
    </row>
    <row r="161" spans="1:7" x14ac:dyDescent="0.2">
      <c r="A161" s="86" t="s">
        <v>106</v>
      </c>
      <c r="B161" s="80">
        <v>100</v>
      </c>
      <c r="C161" s="80">
        <v>100</v>
      </c>
      <c r="D161" s="80">
        <v>70</v>
      </c>
      <c r="E161" s="80">
        <v>100</v>
      </c>
      <c r="F161" s="80">
        <v>100</v>
      </c>
      <c r="G161" s="94">
        <f>AVERAGE(B161:F161)</f>
        <v>94</v>
      </c>
    </row>
    <row r="163" spans="1:7" x14ac:dyDescent="0.2">
      <c r="A163" s="113" t="s">
        <v>162</v>
      </c>
      <c r="B163" s="114"/>
      <c r="C163" s="114"/>
      <c r="D163" s="114"/>
      <c r="E163" s="114"/>
      <c r="F163" s="114"/>
      <c r="G163" s="114"/>
    </row>
    <row r="164" spans="1:7" x14ac:dyDescent="0.2">
      <c r="A164" s="3" t="s">
        <v>1</v>
      </c>
      <c r="B164" s="91" t="s">
        <v>94</v>
      </c>
      <c r="C164" s="91" t="s">
        <v>95</v>
      </c>
      <c r="D164" s="91" t="s">
        <v>145</v>
      </c>
      <c r="E164" s="91" t="s">
        <v>146</v>
      </c>
      <c r="F164" s="91" t="s">
        <v>159</v>
      </c>
      <c r="G164" s="91" t="s">
        <v>47</v>
      </c>
    </row>
    <row r="165" spans="1:7" x14ac:dyDescent="0.2">
      <c r="A165" s="86" t="s">
        <v>135</v>
      </c>
      <c r="B165" s="80">
        <v>0</v>
      </c>
      <c r="C165" s="80">
        <v>63</v>
      </c>
      <c r="D165" s="80">
        <v>33</v>
      </c>
      <c r="E165" s="80">
        <v>41</v>
      </c>
      <c r="F165" s="80">
        <v>67</v>
      </c>
      <c r="G165" s="94">
        <f>AVERAGE(B165:F165)</f>
        <v>40.799999999999997</v>
      </c>
    </row>
    <row r="166" spans="1:7" x14ac:dyDescent="0.2">
      <c r="A166" s="86" t="s">
        <v>109</v>
      </c>
      <c r="B166" s="80">
        <v>0</v>
      </c>
      <c r="C166" s="80">
        <v>81</v>
      </c>
      <c r="D166" s="80">
        <v>48</v>
      </c>
      <c r="E166" s="80">
        <v>68</v>
      </c>
      <c r="F166" s="80">
        <v>85</v>
      </c>
      <c r="G166" s="94">
        <f>AVERAGE(B166:F166)</f>
        <v>56.4</v>
      </c>
    </row>
    <row r="167" spans="1:7" x14ac:dyDescent="0.2">
      <c r="A167" s="86" t="s">
        <v>121</v>
      </c>
      <c r="B167" s="80">
        <v>0</v>
      </c>
      <c r="C167" s="80">
        <v>85</v>
      </c>
      <c r="D167" s="80">
        <v>93</v>
      </c>
      <c r="E167" s="80">
        <v>100</v>
      </c>
      <c r="F167" s="80">
        <v>100</v>
      </c>
      <c r="G167" s="94">
        <f>AVERAGE(B167:F167)</f>
        <v>75.599999999999994</v>
      </c>
    </row>
    <row r="168" spans="1:7" x14ac:dyDescent="0.2">
      <c r="A168" s="86" t="s">
        <v>127</v>
      </c>
      <c r="B168" s="80">
        <v>0</v>
      </c>
      <c r="C168" s="80">
        <v>96</v>
      </c>
      <c r="D168" s="80">
        <v>100</v>
      </c>
      <c r="E168" s="80">
        <v>100</v>
      </c>
      <c r="F168" s="80">
        <v>100</v>
      </c>
      <c r="G168" s="94">
        <f>AVERAGE(B168:F168)</f>
        <v>79.2</v>
      </c>
    </row>
    <row r="169" spans="1:7" x14ac:dyDescent="0.2">
      <c r="A169" s="86" t="s">
        <v>128</v>
      </c>
      <c r="B169" s="80">
        <v>0</v>
      </c>
      <c r="C169" s="80">
        <v>85</v>
      </c>
      <c r="D169" s="80">
        <v>93</v>
      </c>
      <c r="E169" s="80">
        <v>100</v>
      </c>
      <c r="F169" s="80">
        <v>100</v>
      </c>
      <c r="G169" s="94">
        <f>AVERAGE(B169:F169)</f>
        <v>75.599999999999994</v>
      </c>
    </row>
    <row r="171" spans="1:7" x14ac:dyDescent="0.2">
      <c r="A171" s="113" t="s">
        <v>163</v>
      </c>
      <c r="B171" s="114"/>
      <c r="C171" s="114"/>
      <c r="D171" s="114"/>
      <c r="E171" s="114"/>
      <c r="F171" s="114"/>
    </row>
    <row r="172" spans="1:7" x14ac:dyDescent="0.2">
      <c r="A172" s="3" t="s">
        <v>1</v>
      </c>
      <c r="B172" s="91" t="s">
        <v>94</v>
      </c>
      <c r="C172" s="91" t="s">
        <v>95</v>
      </c>
      <c r="D172" s="91" t="s">
        <v>145</v>
      </c>
      <c r="E172" s="91" t="s">
        <v>146</v>
      </c>
      <c r="F172" s="91" t="s">
        <v>47</v>
      </c>
    </row>
    <row r="173" spans="1:7" x14ac:dyDescent="0.2">
      <c r="A173" s="86" t="s">
        <v>123</v>
      </c>
      <c r="B173" s="80">
        <v>100</v>
      </c>
      <c r="C173" s="80">
        <v>93</v>
      </c>
      <c r="D173" s="80">
        <v>100</v>
      </c>
      <c r="E173" s="80">
        <v>100</v>
      </c>
      <c r="F173" s="94">
        <f>AVERAGE(B173:E173)</f>
        <v>98.25</v>
      </c>
    </row>
    <row r="174" spans="1:7" x14ac:dyDescent="0.2">
      <c r="A174" s="86" t="s">
        <v>124</v>
      </c>
      <c r="B174" s="80">
        <v>96</v>
      </c>
      <c r="C174" s="80">
        <v>74</v>
      </c>
      <c r="D174" s="80">
        <v>100</v>
      </c>
      <c r="E174" s="80">
        <v>100</v>
      </c>
      <c r="F174" s="94">
        <f t="shared" ref="F174:F176" si="20">AVERAGE(B174:E174)</f>
        <v>92.5</v>
      </c>
    </row>
    <row r="175" spans="1:7" x14ac:dyDescent="0.2">
      <c r="A175" s="86" t="s">
        <v>113</v>
      </c>
      <c r="B175" s="80">
        <v>100</v>
      </c>
      <c r="C175" s="80">
        <v>93</v>
      </c>
      <c r="D175" s="80">
        <v>100</v>
      </c>
      <c r="E175" s="80">
        <v>100</v>
      </c>
      <c r="F175" s="94">
        <f t="shared" si="20"/>
        <v>98.25</v>
      </c>
    </row>
    <row r="176" spans="1:7" x14ac:dyDescent="0.2">
      <c r="A176" s="86" t="s">
        <v>108</v>
      </c>
      <c r="B176" s="80">
        <v>89</v>
      </c>
      <c r="C176" s="80">
        <v>93</v>
      </c>
      <c r="D176" s="80">
        <v>100</v>
      </c>
      <c r="E176" s="80">
        <v>100</v>
      </c>
      <c r="F176" s="94">
        <f t="shared" si="20"/>
        <v>95.5</v>
      </c>
    </row>
  </sheetData>
  <sheetProtection selectLockedCells="1" selectUnlockedCells="1"/>
  <mergeCells count="12">
    <mergeCell ref="A171:F171"/>
    <mergeCell ref="A1:G1"/>
    <mergeCell ref="A2:G2"/>
    <mergeCell ref="A3:N3"/>
    <mergeCell ref="A31:D31"/>
    <mergeCell ref="A58:D58"/>
    <mergeCell ref="A85:K85"/>
    <mergeCell ref="A112:G112"/>
    <mergeCell ref="A139:G139"/>
    <mergeCell ref="A147:G147"/>
    <mergeCell ref="A155:G155"/>
    <mergeCell ref="A163:G163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pane xSplit="1" ySplit="3" topLeftCell="B4" activePane="bottomRight" state="frozen"/>
      <selection pane="topRight" activeCell="C1" sqref="C1"/>
      <selection pane="bottomLeft" activeCell="A9" sqref="A9"/>
      <selection pane="bottomRight" activeCell="J38" sqref="J38"/>
    </sheetView>
  </sheetViews>
  <sheetFormatPr baseColWidth="10" defaultColWidth="11.42578125" defaultRowHeight="12.75" x14ac:dyDescent="0.2"/>
  <cols>
    <col min="1" max="1" width="7.7109375" style="8" customWidth="1"/>
    <col min="2" max="6" width="8.7109375" style="8" customWidth="1"/>
    <col min="7" max="7" width="15.7109375" style="8" customWidth="1"/>
    <col min="8" max="16384" width="11.42578125" style="8"/>
  </cols>
  <sheetData>
    <row r="1" spans="1:7" ht="15.75" x14ac:dyDescent="0.25">
      <c r="A1" s="118" t="s">
        <v>33</v>
      </c>
      <c r="B1" s="118"/>
      <c r="C1" s="118"/>
      <c r="D1" s="118"/>
      <c r="E1" s="118"/>
      <c r="F1" s="118"/>
      <c r="G1" s="118"/>
    </row>
    <row r="2" spans="1:7" x14ac:dyDescent="0.2">
      <c r="A2" s="9"/>
      <c r="B2" s="17"/>
      <c r="C2" s="17"/>
      <c r="D2" s="17"/>
      <c r="E2" s="17"/>
      <c r="F2" s="17"/>
      <c r="G2" s="18"/>
    </row>
    <row r="3" spans="1:7" x14ac:dyDescent="0.2">
      <c r="A3" s="19" t="s">
        <v>1</v>
      </c>
      <c r="B3" s="19" t="s">
        <v>34</v>
      </c>
      <c r="C3" s="19" t="s">
        <v>35</v>
      </c>
      <c r="D3" s="19" t="s">
        <v>36</v>
      </c>
      <c r="E3" s="19" t="s">
        <v>37</v>
      </c>
      <c r="F3" s="19" t="s">
        <v>38</v>
      </c>
      <c r="G3" s="19" t="s">
        <v>39</v>
      </c>
    </row>
    <row r="4" spans="1:7" x14ac:dyDescent="0.2">
      <c r="A4" s="86" t="s">
        <v>115</v>
      </c>
      <c r="B4" s="20">
        <f ca="1">CELL("contents",AprendizajeColaborativo_P1!M4)</f>
        <v>97.11</v>
      </c>
      <c r="C4" s="20">
        <f ca="1">CELL("contents",AprendizajeColaborativo_P2!M4)</f>
        <v>100</v>
      </c>
      <c r="D4" s="20">
        <f ca="1">CELL("contents",AprendizajeColaborativo_P3!M4)</f>
        <v>100</v>
      </c>
      <c r="E4" s="20">
        <f ca="1">CELL("contents",AprendizajeColaborativo_P4!M4)</f>
        <v>100</v>
      </c>
      <c r="F4" s="20">
        <f ca="1">CELL("contents",AprendizajeColaborativo_P5!M4)</f>
        <v>99.325000000000003</v>
      </c>
      <c r="G4" s="21">
        <f ca="1">AVERAGE(B4:F4)</f>
        <v>99.287000000000006</v>
      </c>
    </row>
    <row r="5" spans="1:7" x14ac:dyDescent="0.2">
      <c r="A5" s="86" t="s">
        <v>116</v>
      </c>
      <c r="B5" s="20">
        <f ca="1">CELL("contents",AprendizajeColaborativo_P1!M5)</f>
        <v>98.157499999999999</v>
      </c>
      <c r="C5" s="20">
        <f ca="1">CELL("contents",AprendizajeColaborativo_P2!M5)</f>
        <v>94.357500000000002</v>
      </c>
      <c r="D5" s="20">
        <f ca="1">CELL("contents",AprendizajeColaborativo_P3!M5)</f>
        <v>90.525000000000006</v>
      </c>
      <c r="E5" s="20">
        <f ca="1">CELL("contents",AprendizajeColaborativo_P4!M5)</f>
        <v>95.525000000000006</v>
      </c>
      <c r="F5" s="20">
        <f ca="1">CELL("contents",AprendizajeColaborativo_P5!M5)</f>
        <v>86.95</v>
      </c>
      <c r="G5" s="21">
        <f t="shared" ref="G5:G26" ca="1" si="0">AVERAGE(B5:F5)</f>
        <v>93.10299999999998</v>
      </c>
    </row>
    <row r="6" spans="1:7" x14ac:dyDescent="0.2">
      <c r="A6" s="86" t="s">
        <v>117</v>
      </c>
      <c r="B6" s="20">
        <f ca="1">CELL("contents",AprendizajeColaborativo_P1!M6)</f>
        <v>99.594999999999999</v>
      </c>
      <c r="C6" s="20">
        <f ca="1">CELL("contents",AprendizajeColaborativo_P2!M6)</f>
        <v>95.545000000000002</v>
      </c>
      <c r="D6" s="20">
        <f ca="1">CELL("contents",AprendizajeColaborativo_P3!M6)</f>
        <v>98.65</v>
      </c>
      <c r="E6" s="20">
        <f ca="1">CELL("contents",AprendizajeColaborativo_P4!M6)</f>
        <v>96.15</v>
      </c>
      <c r="F6" s="20">
        <f ca="1">CELL("contents",AprendizajeColaborativo_P5!M6)</f>
        <v>92.2</v>
      </c>
      <c r="G6" s="21">
        <f t="shared" ca="1" si="0"/>
        <v>96.427999999999983</v>
      </c>
    </row>
    <row r="7" spans="1:7" x14ac:dyDescent="0.2">
      <c r="A7" s="86" t="s">
        <v>118</v>
      </c>
      <c r="B7" s="20">
        <f ca="1">CELL("contents",AprendizajeColaborativo_P1!M7)</f>
        <v>97.11</v>
      </c>
      <c r="C7" s="20">
        <f ca="1">CELL("contents",AprendizajeColaborativo_P2!M7)</f>
        <v>100</v>
      </c>
      <c r="D7" s="20">
        <f ca="1">CELL("contents",AprendizajeColaborativo_P3!M7)</f>
        <v>100</v>
      </c>
      <c r="E7" s="20">
        <f ca="1">CELL("contents",AprendizajeColaborativo_P4!M7)</f>
        <v>99.375</v>
      </c>
      <c r="F7" s="20">
        <f ca="1">CELL("contents",AprendizajeColaborativo_P5!M7)</f>
        <v>99.325000000000003</v>
      </c>
      <c r="G7" s="21">
        <f t="shared" ca="1" si="0"/>
        <v>99.162000000000006</v>
      </c>
    </row>
    <row r="8" spans="1:7" x14ac:dyDescent="0.2">
      <c r="A8" s="86" t="s">
        <v>119</v>
      </c>
      <c r="B8" s="20">
        <f ca="1">CELL("contents",AprendizajeColaborativo_P1!M8)</f>
        <v>97.11</v>
      </c>
      <c r="C8" s="20">
        <f ca="1">CELL("contents",AprendizajeColaborativo_P2!M8)</f>
        <v>99.625</v>
      </c>
      <c r="D8" s="20">
        <f ca="1">CELL("contents",AprendizajeColaborativo_P3!M8)</f>
        <v>100</v>
      </c>
      <c r="E8" s="20">
        <f ca="1">CELL("contents",AprendizajeColaborativo_P4!M8)</f>
        <v>100</v>
      </c>
      <c r="F8" s="20">
        <f ca="1">CELL("contents",AprendizajeColaborativo_P5!M8)</f>
        <v>72.075000000000003</v>
      </c>
      <c r="G8" s="21">
        <f t="shared" ca="1" si="0"/>
        <v>93.762</v>
      </c>
    </row>
    <row r="9" spans="1:7" x14ac:dyDescent="0.2">
      <c r="A9" s="86" t="s">
        <v>107</v>
      </c>
      <c r="B9" s="20">
        <f ca="1">CELL("contents",AprendizajeColaborativo_P1!M9)</f>
        <v>99.460000000000008</v>
      </c>
      <c r="C9" s="20">
        <f ca="1">CELL("contents",AprendizajeColaborativo_P2!M9)</f>
        <v>100</v>
      </c>
      <c r="D9" s="20">
        <f ca="1">CELL("contents",AprendizajeColaborativo_P3!M9)</f>
        <v>96.759999999999991</v>
      </c>
      <c r="E9" s="20">
        <f ca="1">CELL("contents",AprendizajeColaborativo_P4!M9)</f>
        <v>96.15</v>
      </c>
      <c r="F9" s="20">
        <f ca="1">CELL("contents",AprendizajeColaborativo_P5!M9)</f>
        <v>87.305000000000007</v>
      </c>
      <c r="G9" s="21">
        <f t="shared" ca="1" si="0"/>
        <v>95.935000000000002</v>
      </c>
    </row>
    <row r="10" spans="1:7" x14ac:dyDescent="0.2">
      <c r="A10" s="86" t="s">
        <v>135</v>
      </c>
      <c r="B10" s="20">
        <f ca="1">CELL("contents",AprendizajeColaborativo_P1!M10)</f>
        <v>100</v>
      </c>
      <c r="C10" s="20">
        <f ca="1">CELL("contents",AprendizajeColaborativo_P2!M10)</f>
        <v>47.875</v>
      </c>
      <c r="D10" s="20">
        <f ca="1">CELL("contents",AprendizajeColaborativo_P3!M10)</f>
        <v>21.045000000000002</v>
      </c>
      <c r="E10" s="20">
        <f ca="1">CELL("contents",AprendizajeColaborativo_P4!M10)</f>
        <v>29.375</v>
      </c>
      <c r="F10" s="20">
        <f ca="1">CELL("contents",AprendizajeColaborativo_P5!M10)</f>
        <v>26.745000000000001</v>
      </c>
      <c r="G10" s="21">
        <f t="shared" ca="1" si="0"/>
        <v>45.008000000000003</v>
      </c>
    </row>
    <row r="11" spans="1:7" x14ac:dyDescent="0.2">
      <c r="A11" s="86" t="s">
        <v>120</v>
      </c>
      <c r="B11" s="20">
        <f ca="1">CELL("contents",AprendizajeColaborativo_P1!M11)</f>
        <v>99.325000000000003</v>
      </c>
      <c r="C11" s="20">
        <f ca="1">CELL("contents",AprendizajeColaborativo_P2!M11)</f>
        <v>100</v>
      </c>
      <c r="D11" s="20">
        <f ca="1">CELL("contents",AprendizajeColaborativo_P3!M11)</f>
        <v>96.759999999999991</v>
      </c>
      <c r="E11" s="20">
        <f ca="1">CELL("contents",AprendizajeColaborativo_P4!M11)</f>
        <v>96.15</v>
      </c>
      <c r="F11" s="20">
        <f ca="1">CELL("contents",AprendizajeColaborativo_P5!M11)</f>
        <v>87.305000000000007</v>
      </c>
      <c r="G11" s="21">
        <f t="shared" ca="1" si="0"/>
        <v>95.908000000000001</v>
      </c>
    </row>
    <row r="12" spans="1:7" x14ac:dyDescent="0.2">
      <c r="A12" s="86" t="s">
        <v>109</v>
      </c>
      <c r="B12" s="20">
        <f ca="1">CELL("contents",AprendizajeColaborativo_P1!M12)</f>
        <v>100</v>
      </c>
      <c r="C12" s="20">
        <f ca="1">CELL("contents",AprendizajeColaborativo_P2!M12)</f>
        <v>97.93</v>
      </c>
      <c r="D12" s="20">
        <f ca="1">CELL("contents",AprendizajeColaborativo_P3!M12)</f>
        <v>31.42</v>
      </c>
      <c r="E12" s="20">
        <f ca="1">CELL("contents",AprendizajeColaborativo_P4!M12)</f>
        <v>40</v>
      </c>
      <c r="F12" s="20">
        <f ca="1">CELL("contents",AprendizajeColaborativo_P5!M12)</f>
        <v>51.120000000000005</v>
      </c>
      <c r="G12" s="21">
        <f t="shared" ca="1" si="0"/>
        <v>64.094000000000008</v>
      </c>
    </row>
    <row r="13" spans="1:7" x14ac:dyDescent="0.2">
      <c r="A13" s="86" t="s">
        <v>121</v>
      </c>
      <c r="B13" s="20">
        <f ca="1">CELL("contents",AprendizajeColaborativo_P1!M13)</f>
        <v>100</v>
      </c>
      <c r="C13" s="20">
        <f ca="1">CELL("contents",AprendizajeColaborativo_P2!M13)</f>
        <v>99.055000000000007</v>
      </c>
      <c r="D13" s="20">
        <f ca="1">CELL("contents",AprendizajeColaborativo_P3!M13)</f>
        <v>42.17</v>
      </c>
      <c r="E13" s="20">
        <f ca="1">CELL("contents",AprendizajeColaborativo_P4!M13)</f>
        <v>100</v>
      </c>
      <c r="F13" s="20">
        <f ca="1">CELL("contents",AprendizajeColaborativo_P5!M13)</f>
        <v>98.245000000000005</v>
      </c>
      <c r="G13" s="21">
        <f t="shared" ca="1" si="0"/>
        <v>87.894000000000005</v>
      </c>
    </row>
    <row r="14" spans="1:7" x14ac:dyDescent="0.2">
      <c r="A14" s="86" t="s">
        <v>122</v>
      </c>
      <c r="B14" s="20">
        <f ca="1">CELL("contents",AprendizajeColaborativo_P1!M14)</f>
        <v>99.594999999999999</v>
      </c>
      <c r="C14" s="20">
        <f ca="1">CELL("contents",AprendizajeColaborativo_P2!M14)</f>
        <v>93.67</v>
      </c>
      <c r="D14" s="20">
        <f ca="1">CELL("contents",AprendizajeColaborativo_P3!M14)</f>
        <v>98.65</v>
      </c>
      <c r="E14" s="20">
        <f ca="1">CELL("contents",AprendizajeColaborativo_P4!M14)</f>
        <v>94.275000000000006</v>
      </c>
      <c r="F14" s="20">
        <f ca="1">CELL("contents",AprendizajeColaborativo_P5!M14)</f>
        <v>92.2</v>
      </c>
      <c r="G14" s="21">
        <f t="shared" ca="1" si="0"/>
        <v>95.677999999999983</v>
      </c>
    </row>
    <row r="15" spans="1:7" x14ac:dyDescent="0.2">
      <c r="A15" s="86" t="s">
        <v>123</v>
      </c>
      <c r="B15" s="20">
        <f ca="1">CELL("contents",AprendizajeColaborativo_P1!M15)</f>
        <v>94.174999999999997</v>
      </c>
      <c r="C15" s="20">
        <f ca="1">CELL("contents",AprendizajeColaborativo_P2!M15)</f>
        <v>67.5</v>
      </c>
      <c r="D15" s="20">
        <f ca="1">CELL("contents",AprendizajeColaborativo_P3!M15)</f>
        <v>87.66</v>
      </c>
      <c r="E15" s="20">
        <f ca="1">CELL("contents",AprendizajeColaborativo_P4!M15)</f>
        <v>100</v>
      </c>
      <c r="F15" s="20">
        <f ca="1">CELL("contents",AprendizajeColaborativo_P5!M15)</f>
        <v>100</v>
      </c>
      <c r="G15" s="21">
        <f t="shared" ca="1" si="0"/>
        <v>89.867000000000004</v>
      </c>
    </row>
    <row r="16" spans="1:7" x14ac:dyDescent="0.2">
      <c r="A16" s="86" t="s">
        <v>124</v>
      </c>
      <c r="B16" s="20">
        <f ca="1">CELL("contents",AprendizajeColaborativo_P1!M16)</f>
        <v>82.924999999999997</v>
      </c>
      <c r="C16" s="20">
        <f ca="1">CELL("contents",AprendizajeColaborativo_P2!M16)</f>
        <v>67.125</v>
      </c>
      <c r="D16" s="20">
        <f ca="1">CELL("contents",AprendizajeColaborativo_P3!M16)</f>
        <v>77.91</v>
      </c>
      <c r="E16" s="20">
        <f ca="1">CELL("contents",AprendizajeColaborativo_P4!M16)</f>
        <v>100</v>
      </c>
      <c r="F16" s="20">
        <f ca="1">CELL("contents",AprendizajeColaborativo_P5!M16)</f>
        <v>100</v>
      </c>
      <c r="G16" s="21">
        <f t="shared" ca="1" si="0"/>
        <v>85.592000000000013</v>
      </c>
    </row>
    <row r="17" spans="1:7" x14ac:dyDescent="0.2">
      <c r="A17" s="86" t="s">
        <v>110</v>
      </c>
      <c r="B17" s="20">
        <f ca="1">CELL("contents",AprendizajeColaborativo_P1!M17)</f>
        <v>97.11</v>
      </c>
      <c r="C17" s="20">
        <f ca="1">CELL("contents",AprendizajeColaborativo_P2!M17)</f>
        <v>100</v>
      </c>
      <c r="D17" s="20">
        <f ca="1">CELL("contents",AprendizajeColaborativo_P3!M17)</f>
        <v>100</v>
      </c>
      <c r="E17" s="20">
        <f ca="1">CELL("contents",AprendizajeColaborativo_P4!M17)</f>
        <v>100</v>
      </c>
      <c r="F17" s="20">
        <f ca="1">CELL("contents",AprendizajeColaborativo_P5!M17)</f>
        <v>99.325000000000003</v>
      </c>
      <c r="G17" s="21">
        <f t="shared" ca="1" si="0"/>
        <v>99.287000000000006</v>
      </c>
    </row>
    <row r="18" spans="1:7" x14ac:dyDescent="0.2">
      <c r="A18" s="86" t="s">
        <v>125</v>
      </c>
      <c r="B18" s="20">
        <f ca="1">CELL("contents",AprendizajeColaborativo_P1!M18)</f>
        <v>99.460000000000008</v>
      </c>
      <c r="C18" s="20">
        <f ca="1">CELL("contents",AprendizajeColaborativo_P2!M18)</f>
        <v>99.625</v>
      </c>
      <c r="D18" s="20">
        <f ca="1">CELL("contents",AprendizajeColaborativo_P3!M18)</f>
        <v>96.759999999999991</v>
      </c>
      <c r="E18" s="20">
        <f ca="1">CELL("contents",AprendizajeColaborativo_P4!M18)</f>
        <v>84</v>
      </c>
      <c r="F18" s="20">
        <f ca="1">CELL("contents",AprendizajeColaborativo_P5!M18)</f>
        <v>87.305000000000007</v>
      </c>
      <c r="G18" s="21">
        <f t="shared" ca="1" si="0"/>
        <v>93.43</v>
      </c>
    </row>
    <row r="19" spans="1:7" x14ac:dyDescent="0.2">
      <c r="A19" s="86" t="s">
        <v>111</v>
      </c>
      <c r="B19" s="20">
        <f ca="1">CELL("contents",AprendizajeColaborativo_P1!M19)</f>
        <v>99.460000000000008</v>
      </c>
      <c r="C19" s="20">
        <f ca="1">CELL("contents",AprendizajeColaborativo_P2!M19)</f>
        <v>100</v>
      </c>
      <c r="D19" s="20">
        <f ca="1">CELL("contents",AprendizajeColaborativo_P3!M19)</f>
        <v>96.759999999999991</v>
      </c>
      <c r="E19" s="20">
        <f ca="1">CELL("contents",AprendizajeColaborativo_P4!M19)</f>
        <v>96.15</v>
      </c>
      <c r="F19" s="20">
        <f ca="1">CELL("contents",AprendizajeColaborativo_P5!M19)</f>
        <v>87.305000000000007</v>
      </c>
      <c r="G19" s="21">
        <f t="shared" ca="1" si="0"/>
        <v>95.935000000000002</v>
      </c>
    </row>
    <row r="20" spans="1:7" x14ac:dyDescent="0.2">
      <c r="A20" s="86" t="s">
        <v>126</v>
      </c>
      <c r="B20" s="20">
        <f ca="1">CELL("contents",AprendizajeColaborativo_P1!M20)</f>
        <v>99.594999999999999</v>
      </c>
      <c r="C20" s="20">
        <f ca="1">CELL("contents",AprendizajeColaborativo_P2!M20)</f>
        <v>95.545000000000002</v>
      </c>
      <c r="D20" s="20">
        <f ca="1">CELL("contents",AprendizajeColaborativo_P3!M20)</f>
        <v>98.65</v>
      </c>
      <c r="E20" s="20">
        <f ca="1">CELL("contents",AprendizajeColaborativo_P4!M20)</f>
        <v>96.15</v>
      </c>
      <c r="F20" s="20">
        <f ca="1">CELL("contents",AprendizajeColaborativo_P5!M20)</f>
        <v>92.2</v>
      </c>
      <c r="G20" s="21">
        <f t="shared" ca="1" si="0"/>
        <v>96.427999999999983</v>
      </c>
    </row>
    <row r="21" spans="1:7" x14ac:dyDescent="0.2">
      <c r="A21" s="86" t="s">
        <v>112</v>
      </c>
      <c r="B21" s="20">
        <f ca="1">CELL("contents",AprendizajeColaborativo_P1!M21)</f>
        <v>99.460000000000008</v>
      </c>
      <c r="C21" s="20">
        <f ca="1">CELL("contents",AprendizajeColaborativo_P2!M21)</f>
        <v>100</v>
      </c>
      <c r="D21" s="20">
        <f ca="1">CELL("contents",AprendizajeColaborativo_P3!M21)</f>
        <v>96.759999999999991</v>
      </c>
      <c r="E21" s="20">
        <f ca="1">CELL("contents",AprendizajeColaborativo_P4!M21)</f>
        <v>96.15</v>
      </c>
      <c r="F21" s="20">
        <f ca="1">CELL("contents",AprendizajeColaborativo_P5!M21)</f>
        <v>87.305000000000007</v>
      </c>
      <c r="G21" s="21">
        <f t="shared" ca="1" si="0"/>
        <v>95.935000000000002</v>
      </c>
    </row>
    <row r="22" spans="1:7" x14ac:dyDescent="0.2">
      <c r="A22" s="86" t="s">
        <v>127</v>
      </c>
      <c r="B22" s="20">
        <f ca="1">CELL("contents",AprendizajeColaborativo_P1!M22)</f>
        <v>100</v>
      </c>
      <c r="C22" s="20">
        <f ca="1">CELL("contents",AprendizajeColaborativo_P2!M22)</f>
        <v>99.055000000000007</v>
      </c>
      <c r="D22" s="20">
        <f ca="1">CELL("contents",AprendizajeColaborativo_P3!M22)</f>
        <v>42.17</v>
      </c>
      <c r="E22" s="20">
        <f ca="1">CELL("contents",AprendizajeColaborativo_P4!M22)</f>
        <v>100</v>
      </c>
      <c r="F22" s="20">
        <f ca="1">CELL("contents",AprendizajeColaborativo_P5!M22)</f>
        <v>98.245000000000005</v>
      </c>
      <c r="G22" s="21">
        <f t="shared" ca="1" si="0"/>
        <v>87.894000000000005</v>
      </c>
    </row>
    <row r="23" spans="1:7" x14ac:dyDescent="0.2">
      <c r="A23" s="86" t="s">
        <v>128</v>
      </c>
      <c r="B23" s="20">
        <f ca="1">CELL("contents",AprendizajeColaborativo_P1!M23)</f>
        <v>99.375</v>
      </c>
      <c r="C23" s="20">
        <f ca="1">CELL("contents",AprendizajeColaborativo_P2!M23)</f>
        <v>99.055000000000007</v>
      </c>
      <c r="D23" s="20">
        <f ca="1">CELL("contents",AprendizajeColaborativo_P3!M23)</f>
        <v>42.17</v>
      </c>
      <c r="E23" s="20">
        <f ca="1">CELL("contents",AprendizajeColaborativo_P4!M23)</f>
        <v>100</v>
      </c>
      <c r="F23" s="20">
        <f ca="1">CELL("contents",AprendizajeColaborativo_P5!M23)</f>
        <v>98.245000000000005</v>
      </c>
      <c r="G23" s="21">
        <f t="shared" ca="1" si="0"/>
        <v>87.769000000000005</v>
      </c>
    </row>
    <row r="24" spans="1:7" x14ac:dyDescent="0.2">
      <c r="A24" s="86" t="s">
        <v>113</v>
      </c>
      <c r="B24" s="20">
        <f ca="1">CELL("contents",AprendizajeColaborativo_P1!M24)</f>
        <v>94.174999999999997</v>
      </c>
      <c r="C24" s="20">
        <f ca="1">CELL("contents",AprendizajeColaborativo_P2!M24)</f>
        <v>65.833333333333343</v>
      </c>
      <c r="D24" s="20">
        <f ca="1">CELL("contents",AprendizajeColaborativo_P3!M24)</f>
        <v>77.91</v>
      </c>
      <c r="E24" s="20">
        <f ca="1">CELL("contents",AprendizajeColaborativo_P4!M24)</f>
        <v>100</v>
      </c>
      <c r="F24" s="20">
        <f ca="1">CELL("contents",AprendizajeColaborativo_P5!M24)</f>
        <v>100</v>
      </c>
      <c r="G24" s="21">
        <f t="shared" ca="1" si="0"/>
        <v>87.583666666666659</v>
      </c>
    </row>
    <row r="25" spans="1:7" x14ac:dyDescent="0.2">
      <c r="A25" s="86" t="s">
        <v>114</v>
      </c>
      <c r="B25" s="20">
        <f ca="1">CELL("contents",AprendizajeColaborativo_P1!M25)</f>
        <v>97.11</v>
      </c>
      <c r="C25" s="20">
        <f ca="1">CELL("contents",AprendizajeColaborativo_P2!M25)</f>
        <v>100</v>
      </c>
      <c r="D25" s="20">
        <f ca="1">CELL("contents",AprendizajeColaborativo_P3!M25)</f>
        <v>100</v>
      </c>
      <c r="E25" s="20">
        <f ca="1">CELL("contents",AprendizajeColaborativo_P4!M25)</f>
        <v>100</v>
      </c>
      <c r="F25" s="20">
        <f ca="1">CELL("contents",AprendizajeColaborativo_P5!M25)</f>
        <v>99.325000000000003</v>
      </c>
      <c r="G25" s="21">
        <f t="shared" ca="1" si="0"/>
        <v>99.287000000000006</v>
      </c>
    </row>
    <row r="26" spans="1:7" x14ac:dyDescent="0.2">
      <c r="A26" s="86" t="s">
        <v>106</v>
      </c>
      <c r="B26" s="20">
        <f ca="1">CELL("contents",AprendizajeColaborativo_P1!M26)</f>
        <v>99.594999999999999</v>
      </c>
      <c r="C26" s="20">
        <f ca="1">CELL("contents",AprendizajeColaborativo_P2!M26)</f>
        <v>95.545000000000002</v>
      </c>
      <c r="D26" s="20">
        <f ca="1">CELL("contents",AprendizajeColaborativo_P3!M26)</f>
        <v>98.65</v>
      </c>
      <c r="E26" s="20">
        <f ca="1">CELL("contents",AprendizajeColaborativo_P4!M26)</f>
        <v>96.15</v>
      </c>
      <c r="F26" s="20">
        <f ca="1">CELL("contents",AprendizajeColaborativo_P5!M26)</f>
        <v>87.575000000000003</v>
      </c>
      <c r="G26" s="21">
        <f t="shared" ca="1" si="0"/>
        <v>95.502999999999986</v>
      </c>
    </row>
    <row r="27" spans="1:7" x14ac:dyDescent="0.2">
      <c r="A27" s="86" t="s">
        <v>108</v>
      </c>
      <c r="B27" s="20">
        <f ca="1">CELL("contents",AprendizajeColaborativo_P1!M27)</f>
        <v>96.237499999999997</v>
      </c>
      <c r="C27" s="20">
        <f ca="1">CELL("contents",AprendizajeColaborativo_P2!M27)</f>
        <v>66.75</v>
      </c>
      <c r="D27" s="20">
        <f ca="1">CELL("contents",AprendizajeColaborativo_P3!M27)</f>
        <v>78.284999999999997</v>
      </c>
      <c r="E27" s="20">
        <f ca="1">CELL("contents",AprendizajeColaborativo_P4!M27)</f>
        <v>99.375</v>
      </c>
      <c r="F27" s="20">
        <f ca="1">CELL("contents",AprendizajeColaborativo_P5!M27)</f>
        <v>99.625</v>
      </c>
      <c r="G27" s="21">
        <f t="shared" ref="G27" ca="1" si="1">AVERAGE(B27:F27)</f>
        <v>88.054500000000004</v>
      </c>
    </row>
  </sheetData>
  <sheetProtection selectLockedCells="1" selectUnlockedCells="1"/>
  <mergeCells count="1">
    <mergeCell ref="A1:G1"/>
  </mergeCells>
  <pageMargins left="0.19652777777777777" right="0.19652777777777777" top="0.19652777777777777" bottom="0.19652777777777777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pane xSplit="1" ySplit="3" topLeftCell="B4" activePane="bottomRight" state="frozen"/>
      <selection pane="topRight" activeCell="C1" sqref="C1"/>
      <selection pane="bottomLeft" activeCell="A9" sqref="A9"/>
      <selection pane="bottomRight" activeCell="C40" sqref="C40"/>
    </sheetView>
  </sheetViews>
  <sheetFormatPr baseColWidth="10" defaultColWidth="11.42578125" defaultRowHeight="12.75" x14ac:dyDescent="0.2"/>
  <cols>
    <col min="1" max="1" width="7.7109375" style="8" customWidth="1"/>
    <col min="2" max="8" width="10.7109375" style="8" customWidth="1"/>
    <col min="9" max="11" width="15.7109375" style="8" customWidth="1"/>
    <col min="12" max="13" width="15.5703125" style="8" customWidth="1"/>
    <col min="14" max="14" width="10.5703125" style="8" customWidth="1"/>
    <col min="15" max="16384" width="11.42578125" style="8"/>
  </cols>
  <sheetData>
    <row r="1" spans="1:16" ht="15.75" x14ac:dyDescent="0.25">
      <c r="A1" s="118" t="s">
        <v>40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6" x14ac:dyDescent="0.2">
      <c r="A2" s="9"/>
      <c r="B2" s="17"/>
      <c r="C2" s="18"/>
      <c r="D2" s="18"/>
      <c r="E2" s="18"/>
      <c r="F2" s="18"/>
      <c r="G2" s="18"/>
      <c r="H2" s="18"/>
      <c r="I2" s="18"/>
      <c r="J2" s="10"/>
      <c r="K2" s="10"/>
    </row>
    <row r="3" spans="1:16" x14ac:dyDescent="0.2">
      <c r="A3" s="19" t="s">
        <v>1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 t="s">
        <v>39</v>
      </c>
      <c r="J3" s="19" t="s">
        <v>41</v>
      </c>
      <c r="K3" s="19" t="s">
        <v>42</v>
      </c>
      <c r="L3" s="19" t="s">
        <v>85</v>
      </c>
      <c r="M3" s="69" t="s">
        <v>86</v>
      </c>
    </row>
    <row r="4" spans="1:16" x14ac:dyDescent="0.2">
      <c r="A4" s="86" t="s">
        <v>115</v>
      </c>
      <c r="B4" s="20">
        <v>18</v>
      </c>
      <c r="C4" s="20">
        <v>10</v>
      </c>
      <c r="D4" s="20">
        <v>10</v>
      </c>
      <c r="E4" s="20">
        <v>24.3</v>
      </c>
      <c r="F4" s="20">
        <v>25.92</v>
      </c>
      <c r="G4" s="20">
        <v>3</v>
      </c>
      <c r="H4" s="20">
        <f>F58*0.03</f>
        <v>3</v>
      </c>
      <c r="I4" s="21">
        <f>B4+C4+D4+E4+F4+G4+H4</f>
        <v>94.22</v>
      </c>
      <c r="J4" s="21">
        <f t="shared" ref="J4:J26" si="0">(C4+E4+F4+H4)</f>
        <v>63.22</v>
      </c>
      <c r="K4" s="21">
        <f>(B4+D4+G4)</f>
        <v>31</v>
      </c>
      <c r="L4" s="21">
        <f>F31</f>
        <v>100</v>
      </c>
      <c r="M4" s="50">
        <f>AVERAGE(L4,I4)</f>
        <v>97.11</v>
      </c>
      <c r="O4" s="85">
        <v>2</v>
      </c>
      <c r="P4" s="20">
        <v>0</v>
      </c>
    </row>
    <row r="5" spans="1:16" x14ac:dyDescent="0.2">
      <c r="A5" s="86" t="s">
        <v>116</v>
      </c>
      <c r="B5" s="20">
        <v>20</v>
      </c>
      <c r="C5" s="20">
        <v>10</v>
      </c>
      <c r="D5" s="20">
        <v>10</v>
      </c>
      <c r="E5" s="20">
        <v>27</v>
      </c>
      <c r="F5" s="20">
        <v>26.19</v>
      </c>
      <c r="G5" s="20">
        <v>3</v>
      </c>
      <c r="H5" s="20">
        <f t="shared" ref="H5:H27" si="1">F59*0.03</f>
        <v>2.625</v>
      </c>
      <c r="I5" s="21">
        <f t="shared" ref="I5:I26" si="2">B5+C5+D5+E5+F5+G5+H5</f>
        <v>98.814999999999998</v>
      </c>
      <c r="J5" s="21">
        <f t="shared" si="0"/>
        <v>65.814999999999998</v>
      </c>
      <c r="K5" s="21">
        <f t="shared" ref="K5:K26" si="3">(B5+D5+G5)</f>
        <v>33</v>
      </c>
      <c r="L5" s="21">
        <f t="shared" ref="L5:L26" si="4">F32</f>
        <v>97.5</v>
      </c>
      <c r="M5" s="50">
        <f t="shared" ref="M5:M26" si="5">AVERAGE(L5,I5)</f>
        <v>98.157499999999999</v>
      </c>
      <c r="O5" s="85">
        <v>3</v>
      </c>
      <c r="P5" s="20">
        <v>0</v>
      </c>
    </row>
    <row r="6" spans="1:16" x14ac:dyDescent="0.2">
      <c r="A6" s="86" t="s">
        <v>117</v>
      </c>
      <c r="B6" s="20">
        <v>20</v>
      </c>
      <c r="C6" s="20">
        <v>10</v>
      </c>
      <c r="D6" s="20">
        <v>10</v>
      </c>
      <c r="E6" s="20">
        <v>27</v>
      </c>
      <c r="F6" s="20">
        <v>26.19</v>
      </c>
      <c r="G6" s="20">
        <v>3</v>
      </c>
      <c r="H6" s="20">
        <f t="shared" si="1"/>
        <v>3</v>
      </c>
      <c r="I6" s="21">
        <f t="shared" si="2"/>
        <v>99.19</v>
      </c>
      <c r="J6" s="21">
        <f t="shared" si="0"/>
        <v>66.19</v>
      </c>
      <c r="K6" s="21">
        <f t="shared" si="3"/>
        <v>33</v>
      </c>
      <c r="L6" s="21">
        <f t="shared" si="4"/>
        <v>100</v>
      </c>
      <c r="M6" s="50">
        <f t="shared" si="5"/>
        <v>99.594999999999999</v>
      </c>
      <c r="O6" s="85">
        <v>3</v>
      </c>
      <c r="P6" s="20">
        <v>0</v>
      </c>
    </row>
    <row r="7" spans="1:16" x14ac:dyDescent="0.2">
      <c r="A7" s="86" t="s">
        <v>118</v>
      </c>
      <c r="B7" s="20">
        <v>18</v>
      </c>
      <c r="C7" s="20">
        <v>10</v>
      </c>
      <c r="D7" s="20">
        <v>10</v>
      </c>
      <c r="E7" s="20">
        <v>24.3</v>
      </c>
      <c r="F7" s="20">
        <v>25.92</v>
      </c>
      <c r="G7" s="20">
        <v>3</v>
      </c>
      <c r="H7" s="20">
        <f t="shared" si="1"/>
        <v>3</v>
      </c>
      <c r="I7" s="21">
        <f t="shared" si="2"/>
        <v>94.22</v>
      </c>
      <c r="J7" s="21">
        <f t="shared" si="0"/>
        <v>63.22</v>
      </c>
      <c r="K7" s="21">
        <f t="shared" si="3"/>
        <v>31</v>
      </c>
      <c r="L7" s="21">
        <f t="shared" si="4"/>
        <v>100</v>
      </c>
      <c r="M7" s="50">
        <f t="shared" si="5"/>
        <v>97.11</v>
      </c>
      <c r="N7" s="31"/>
      <c r="O7" s="85">
        <v>2</v>
      </c>
      <c r="P7" s="20">
        <v>0</v>
      </c>
    </row>
    <row r="8" spans="1:16" x14ac:dyDescent="0.2">
      <c r="A8" s="86" t="s">
        <v>119</v>
      </c>
      <c r="B8" s="20">
        <v>18</v>
      </c>
      <c r="C8" s="20">
        <v>10</v>
      </c>
      <c r="D8" s="20">
        <v>10</v>
      </c>
      <c r="E8" s="20">
        <v>24.3</v>
      </c>
      <c r="F8" s="20">
        <v>25.92</v>
      </c>
      <c r="G8" s="20">
        <v>3</v>
      </c>
      <c r="H8" s="20">
        <f t="shared" si="1"/>
        <v>3</v>
      </c>
      <c r="I8" s="21">
        <f t="shared" si="2"/>
        <v>94.22</v>
      </c>
      <c r="J8" s="21">
        <f t="shared" si="0"/>
        <v>63.22</v>
      </c>
      <c r="K8" s="21">
        <f t="shared" si="3"/>
        <v>31</v>
      </c>
      <c r="L8" s="21">
        <f t="shared" si="4"/>
        <v>100</v>
      </c>
      <c r="M8" s="50">
        <f t="shared" si="5"/>
        <v>97.11</v>
      </c>
      <c r="N8" s="31"/>
      <c r="O8" s="85">
        <v>2</v>
      </c>
      <c r="P8" s="20">
        <v>0</v>
      </c>
    </row>
    <row r="9" spans="1:16" x14ac:dyDescent="0.2">
      <c r="A9" s="86" t="s">
        <v>107</v>
      </c>
      <c r="B9" s="20">
        <v>20</v>
      </c>
      <c r="C9" s="20">
        <v>10</v>
      </c>
      <c r="D9" s="20">
        <v>10</v>
      </c>
      <c r="E9" s="20">
        <v>27</v>
      </c>
      <c r="F9" s="20">
        <v>25.92</v>
      </c>
      <c r="G9" s="20">
        <v>3</v>
      </c>
      <c r="H9" s="20">
        <f t="shared" si="1"/>
        <v>3</v>
      </c>
      <c r="I9" s="21">
        <f t="shared" si="2"/>
        <v>98.92</v>
      </c>
      <c r="J9" s="21">
        <f t="shared" si="0"/>
        <v>65.92</v>
      </c>
      <c r="K9" s="21">
        <f t="shared" si="3"/>
        <v>33</v>
      </c>
      <c r="L9" s="21">
        <f t="shared" si="4"/>
        <v>100</v>
      </c>
      <c r="M9" s="50">
        <f t="shared" si="5"/>
        <v>99.460000000000008</v>
      </c>
      <c r="O9" s="85">
        <v>1</v>
      </c>
      <c r="P9" s="20">
        <v>0</v>
      </c>
    </row>
    <row r="10" spans="1:16" x14ac:dyDescent="0.2">
      <c r="A10" s="86" t="s">
        <v>135</v>
      </c>
      <c r="B10" s="20">
        <v>20</v>
      </c>
      <c r="C10" s="20">
        <v>10</v>
      </c>
      <c r="D10" s="20">
        <v>10</v>
      </c>
      <c r="E10" s="20">
        <v>27</v>
      </c>
      <c r="F10" s="20">
        <v>27</v>
      </c>
      <c r="G10" s="20">
        <v>3</v>
      </c>
      <c r="H10" s="20">
        <f t="shared" si="1"/>
        <v>3</v>
      </c>
      <c r="I10" s="21">
        <f t="shared" si="2"/>
        <v>100</v>
      </c>
      <c r="J10" s="21">
        <f t="shared" si="0"/>
        <v>67</v>
      </c>
      <c r="K10" s="21">
        <f t="shared" si="3"/>
        <v>33</v>
      </c>
      <c r="L10" s="21">
        <f t="shared" si="4"/>
        <v>100</v>
      </c>
      <c r="M10" s="50">
        <f t="shared" si="5"/>
        <v>100</v>
      </c>
      <c r="N10" s="31"/>
      <c r="O10" s="85">
        <v>4</v>
      </c>
      <c r="P10" s="20">
        <v>0</v>
      </c>
    </row>
    <row r="11" spans="1:16" x14ac:dyDescent="0.2">
      <c r="A11" s="86" t="s">
        <v>120</v>
      </c>
      <c r="B11" s="20">
        <v>20</v>
      </c>
      <c r="C11" s="20">
        <v>10</v>
      </c>
      <c r="D11" s="20">
        <v>10</v>
      </c>
      <c r="E11" s="20">
        <v>27</v>
      </c>
      <c r="F11" s="20">
        <v>25.65</v>
      </c>
      <c r="G11" s="20">
        <v>3</v>
      </c>
      <c r="H11" s="20">
        <f t="shared" si="1"/>
        <v>3</v>
      </c>
      <c r="I11" s="21">
        <f t="shared" si="2"/>
        <v>98.65</v>
      </c>
      <c r="J11" s="21">
        <f t="shared" si="0"/>
        <v>65.650000000000006</v>
      </c>
      <c r="K11" s="21">
        <f t="shared" si="3"/>
        <v>33</v>
      </c>
      <c r="L11" s="21">
        <f t="shared" si="4"/>
        <v>100</v>
      </c>
      <c r="M11" s="50">
        <f t="shared" si="5"/>
        <v>99.325000000000003</v>
      </c>
      <c r="O11" s="85">
        <v>1</v>
      </c>
      <c r="P11" s="20">
        <v>0</v>
      </c>
    </row>
    <row r="12" spans="1:16" x14ac:dyDescent="0.2">
      <c r="A12" s="86" t="s">
        <v>109</v>
      </c>
      <c r="B12" s="20">
        <v>20</v>
      </c>
      <c r="C12" s="20">
        <v>10</v>
      </c>
      <c r="D12" s="20">
        <v>10</v>
      </c>
      <c r="E12" s="20">
        <v>27</v>
      </c>
      <c r="F12" s="20">
        <v>27</v>
      </c>
      <c r="G12" s="20">
        <v>3</v>
      </c>
      <c r="H12" s="20">
        <f t="shared" si="1"/>
        <v>3</v>
      </c>
      <c r="I12" s="21">
        <f t="shared" si="2"/>
        <v>100</v>
      </c>
      <c r="J12" s="21">
        <f t="shared" si="0"/>
        <v>67</v>
      </c>
      <c r="K12" s="21">
        <f t="shared" si="3"/>
        <v>33</v>
      </c>
      <c r="L12" s="21">
        <f t="shared" si="4"/>
        <v>100</v>
      </c>
      <c r="M12" s="50">
        <f t="shared" si="5"/>
        <v>100</v>
      </c>
      <c r="O12" s="85">
        <v>4</v>
      </c>
      <c r="P12" s="20">
        <v>0</v>
      </c>
    </row>
    <row r="13" spans="1:16" x14ac:dyDescent="0.2">
      <c r="A13" s="86" t="s">
        <v>121</v>
      </c>
      <c r="B13" s="20">
        <v>20</v>
      </c>
      <c r="C13" s="20">
        <v>10</v>
      </c>
      <c r="D13" s="20">
        <v>10</v>
      </c>
      <c r="E13" s="20">
        <v>27</v>
      </c>
      <c r="F13" s="20">
        <v>27</v>
      </c>
      <c r="G13" s="20">
        <v>3</v>
      </c>
      <c r="H13" s="20">
        <f t="shared" si="1"/>
        <v>3</v>
      </c>
      <c r="I13" s="21">
        <f t="shared" si="2"/>
        <v>100</v>
      </c>
      <c r="J13" s="21">
        <f t="shared" si="0"/>
        <v>67</v>
      </c>
      <c r="K13" s="21">
        <f t="shared" si="3"/>
        <v>33</v>
      </c>
      <c r="L13" s="21">
        <f t="shared" si="4"/>
        <v>100</v>
      </c>
      <c r="M13" s="50">
        <f t="shared" si="5"/>
        <v>100</v>
      </c>
      <c r="O13" s="85">
        <v>4</v>
      </c>
      <c r="P13" s="20">
        <v>0</v>
      </c>
    </row>
    <row r="14" spans="1:16" x14ac:dyDescent="0.2">
      <c r="A14" s="86" t="s">
        <v>122</v>
      </c>
      <c r="B14" s="20">
        <v>20</v>
      </c>
      <c r="C14" s="20">
        <v>10</v>
      </c>
      <c r="D14" s="20">
        <v>10</v>
      </c>
      <c r="E14" s="20">
        <v>27</v>
      </c>
      <c r="F14" s="20">
        <v>26.19</v>
      </c>
      <c r="G14" s="20">
        <v>3</v>
      </c>
      <c r="H14" s="20">
        <f t="shared" si="1"/>
        <v>3</v>
      </c>
      <c r="I14" s="21">
        <f t="shared" si="2"/>
        <v>99.19</v>
      </c>
      <c r="J14" s="21">
        <f t="shared" si="0"/>
        <v>66.19</v>
      </c>
      <c r="K14" s="21">
        <f t="shared" si="3"/>
        <v>33</v>
      </c>
      <c r="L14" s="21">
        <f t="shared" si="4"/>
        <v>100</v>
      </c>
      <c r="M14" s="50">
        <f t="shared" si="5"/>
        <v>99.594999999999999</v>
      </c>
      <c r="O14" s="85">
        <v>3</v>
      </c>
      <c r="P14" s="20">
        <v>0</v>
      </c>
    </row>
    <row r="15" spans="1:16" x14ac:dyDescent="0.2">
      <c r="A15" s="86" t="s">
        <v>123</v>
      </c>
      <c r="B15" s="20">
        <v>18</v>
      </c>
      <c r="C15" s="20">
        <v>10</v>
      </c>
      <c r="D15" s="20">
        <v>10</v>
      </c>
      <c r="E15" s="20">
        <v>24.3</v>
      </c>
      <c r="F15" s="20">
        <v>24.3</v>
      </c>
      <c r="G15" s="20">
        <v>3</v>
      </c>
      <c r="H15" s="20">
        <f t="shared" si="1"/>
        <v>3</v>
      </c>
      <c r="I15" s="21">
        <f t="shared" si="2"/>
        <v>92.6</v>
      </c>
      <c r="J15" s="21">
        <f t="shared" si="0"/>
        <v>61.599999999999994</v>
      </c>
      <c r="K15" s="21">
        <f t="shared" si="3"/>
        <v>31</v>
      </c>
      <c r="L15" s="21">
        <f t="shared" si="4"/>
        <v>95.75</v>
      </c>
      <c r="M15" s="50">
        <f t="shared" si="5"/>
        <v>94.174999999999997</v>
      </c>
      <c r="O15" s="85">
        <v>5</v>
      </c>
      <c r="P15" s="20">
        <v>0</v>
      </c>
    </row>
    <row r="16" spans="1:16" x14ac:dyDescent="0.2">
      <c r="A16" s="86" t="s">
        <v>124</v>
      </c>
      <c r="B16" s="20">
        <v>18</v>
      </c>
      <c r="C16" s="20">
        <v>10</v>
      </c>
      <c r="D16" s="20">
        <v>10</v>
      </c>
      <c r="E16" s="20">
        <v>24.3</v>
      </c>
      <c r="F16" s="20">
        <v>24.3</v>
      </c>
      <c r="G16" s="20">
        <v>3</v>
      </c>
      <c r="H16" s="20">
        <f t="shared" si="1"/>
        <v>3</v>
      </c>
      <c r="I16" s="21">
        <f t="shared" si="2"/>
        <v>92.6</v>
      </c>
      <c r="J16" s="21">
        <f t="shared" si="0"/>
        <v>61.599999999999994</v>
      </c>
      <c r="K16" s="21">
        <f t="shared" si="3"/>
        <v>31</v>
      </c>
      <c r="L16" s="21">
        <f t="shared" si="4"/>
        <v>73.25</v>
      </c>
      <c r="M16" s="50">
        <f t="shared" si="5"/>
        <v>82.924999999999997</v>
      </c>
      <c r="O16" s="85">
        <v>5</v>
      </c>
      <c r="P16" s="20">
        <v>0</v>
      </c>
    </row>
    <row r="17" spans="1:16" x14ac:dyDescent="0.2">
      <c r="A17" s="86" t="s">
        <v>110</v>
      </c>
      <c r="B17" s="20">
        <v>18</v>
      </c>
      <c r="C17" s="20">
        <v>10</v>
      </c>
      <c r="D17" s="20">
        <v>10</v>
      </c>
      <c r="E17" s="20">
        <v>24.3</v>
      </c>
      <c r="F17" s="20">
        <v>25.92</v>
      </c>
      <c r="G17" s="20">
        <v>3</v>
      </c>
      <c r="H17" s="20">
        <f t="shared" si="1"/>
        <v>3</v>
      </c>
      <c r="I17" s="21">
        <f t="shared" si="2"/>
        <v>94.22</v>
      </c>
      <c r="J17" s="21">
        <f t="shared" si="0"/>
        <v>63.22</v>
      </c>
      <c r="K17" s="21">
        <f t="shared" si="3"/>
        <v>31</v>
      </c>
      <c r="L17" s="21">
        <f t="shared" si="4"/>
        <v>100</v>
      </c>
      <c r="M17" s="50">
        <f t="shared" si="5"/>
        <v>97.11</v>
      </c>
      <c r="N17" s="31"/>
      <c r="O17" s="85">
        <v>2</v>
      </c>
      <c r="P17" s="20">
        <v>0</v>
      </c>
    </row>
    <row r="18" spans="1:16" x14ac:dyDescent="0.2">
      <c r="A18" s="86" t="s">
        <v>125</v>
      </c>
      <c r="B18" s="20">
        <v>20</v>
      </c>
      <c r="C18" s="20">
        <v>10</v>
      </c>
      <c r="D18" s="20">
        <v>10</v>
      </c>
      <c r="E18" s="20">
        <v>27</v>
      </c>
      <c r="F18" s="20">
        <v>25.92</v>
      </c>
      <c r="G18" s="20">
        <v>3</v>
      </c>
      <c r="H18" s="20">
        <f t="shared" si="1"/>
        <v>3</v>
      </c>
      <c r="I18" s="21">
        <f t="shared" si="2"/>
        <v>98.92</v>
      </c>
      <c r="J18" s="21">
        <f t="shared" si="0"/>
        <v>65.92</v>
      </c>
      <c r="K18" s="21">
        <f t="shared" si="3"/>
        <v>33</v>
      </c>
      <c r="L18" s="21">
        <f t="shared" si="4"/>
        <v>100</v>
      </c>
      <c r="M18" s="50">
        <f t="shared" si="5"/>
        <v>99.460000000000008</v>
      </c>
      <c r="O18" s="85">
        <v>1</v>
      </c>
      <c r="P18" s="20">
        <v>0</v>
      </c>
    </row>
    <row r="19" spans="1:16" x14ac:dyDescent="0.2">
      <c r="A19" s="86" t="s">
        <v>111</v>
      </c>
      <c r="B19" s="20">
        <v>20</v>
      </c>
      <c r="C19" s="20">
        <v>10</v>
      </c>
      <c r="D19" s="20">
        <v>10</v>
      </c>
      <c r="E19" s="20">
        <v>27</v>
      </c>
      <c r="F19" s="20">
        <v>25.92</v>
      </c>
      <c r="G19" s="20">
        <v>3</v>
      </c>
      <c r="H19" s="20">
        <f t="shared" si="1"/>
        <v>3</v>
      </c>
      <c r="I19" s="21">
        <f t="shared" si="2"/>
        <v>98.92</v>
      </c>
      <c r="J19" s="21">
        <f t="shared" si="0"/>
        <v>65.92</v>
      </c>
      <c r="K19" s="21">
        <f t="shared" si="3"/>
        <v>33</v>
      </c>
      <c r="L19" s="21">
        <f t="shared" si="4"/>
        <v>100</v>
      </c>
      <c r="M19" s="50">
        <f t="shared" si="5"/>
        <v>99.460000000000008</v>
      </c>
      <c r="O19" s="85">
        <v>1</v>
      </c>
      <c r="P19" s="20">
        <v>0</v>
      </c>
    </row>
    <row r="20" spans="1:16" x14ac:dyDescent="0.2">
      <c r="A20" s="86" t="s">
        <v>126</v>
      </c>
      <c r="B20" s="20">
        <v>20</v>
      </c>
      <c r="C20" s="20">
        <v>10</v>
      </c>
      <c r="D20" s="20">
        <v>10</v>
      </c>
      <c r="E20" s="20">
        <v>27</v>
      </c>
      <c r="F20" s="20">
        <v>26.19</v>
      </c>
      <c r="G20" s="20">
        <v>3</v>
      </c>
      <c r="H20" s="20">
        <f t="shared" si="1"/>
        <v>3</v>
      </c>
      <c r="I20" s="21">
        <f t="shared" si="2"/>
        <v>99.19</v>
      </c>
      <c r="J20" s="21">
        <f t="shared" si="0"/>
        <v>66.19</v>
      </c>
      <c r="K20" s="21">
        <f t="shared" si="3"/>
        <v>33</v>
      </c>
      <c r="L20" s="21">
        <f t="shared" si="4"/>
        <v>100</v>
      </c>
      <c r="M20" s="50">
        <f t="shared" si="5"/>
        <v>99.594999999999999</v>
      </c>
      <c r="O20" s="85">
        <v>3</v>
      </c>
      <c r="P20" s="20">
        <v>0</v>
      </c>
    </row>
    <row r="21" spans="1:16" x14ac:dyDescent="0.2">
      <c r="A21" s="86" t="s">
        <v>112</v>
      </c>
      <c r="B21" s="20">
        <v>20</v>
      </c>
      <c r="C21" s="20">
        <v>10</v>
      </c>
      <c r="D21" s="20">
        <v>10</v>
      </c>
      <c r="E21" s="20">
        <v>27</v>
      </c>
      <c r="F21" s="20">
        <v>25.92</v>
      </c>
      <c r="G21" s="20">
        <v>3</v>
      </c>
      <c r="H21" s="20">
        <f t="shared" si="1"/>
        <v>3</v>
      </c>
      <c r="I21" s="21">
        <f t="shared" si="2"/>
        <v>98.92</v>
      </c>
      <c r="J21" s="21">
        <f t="shared" si="0"/>
        <v>65.92</v>
      </c>
      <c r="K21" s="21">
        <f t="shared" si="3"/>
        <v>33</v>
      </c>
      <c r="L21" s="21">
        <f t="shared" si="4"/>
        <v>100</v>
      </c>
      <c r="M21" s="50">
        <f t="shared" si="5"/>
        <v>99.460000000000008</v>
      </c>
      <c r="O21" s="85">
        <v>1</v>
      </c>
      <c r="P21" s="20">
        <v>0</v>
      </c>
    </row>
    <row r="22" spans="1:16" x14ac:dyDescent="0.2">
      <c r="A22" s="86" t="s">
        <v>127</v>
      </c>
      <c r="B22" s="20">
        <v>20</v>
      </c>
      <c r="C22" s="20">
        <v>10</v>
      </c>
      <c r="D22" s="20">
        <v>10</v>
      </c>
      <c r="E22" s="20">
        <v>27</v>
      </c>
      <c r="F22" s="20">
        <v>27</v>
      </c>
      <c r="G22" s="20">
        <v>3</v>
      </c>
      <c r="H22" s="20">
        <f t="shared" si="1"/>
        <v>3</v>
      </c>
      <c r="I22" s="21">
        <f t="shared" si="2"/>
        <v>100</v>
      </c>
      <c r="J22" s="21">
        <f t="shared" si="0"/>
        <v>67</v>
      </c>
      <c r="K22" s="21">
        <f t="shared" si="3"/>
        <v>33</v>
      </c>
      <c r="L22" s="21">
        <f t="shared" si="4"/>
        <v>100</v>
      </c>
      <c r="M22" s="50">
        <f t="shared" si="5"/>
        <v>100</v>
      </c>
      <c r="N22" s="31"/>
      <c r="O22" s="85">
        <v>4</v>
      </c>
      <c r="P22" s="20">
        <v>0</v>
      </c>
    </row>
    <row r="23" spans="1:16" x14ac:dyDescent="0.2">
      <c r="A23" s="86" t="s">
        <v>128</v>
      </c>
      <c r="B23" s="20">
        <v>20</v>
      </c>
      <c r="C23" s="20">
        <v>10</v>
      </c>
      <c r="D23" s="20">
        <v>10</v>
      </c>
      <c r="E23" s="20">
        <v>27</v>
      </c>
      <c r="F23" s="20">
        <v>27</v>
      </c>
      <c r="G23" s="20">
        <v>3</v>
      </c>
      <c r="H23" s="20">
        <f t="shared" si="1"/>
        <v>3</v>
      </c>
      <c r="I23" s="21">
        <f t="shared" si="2"/>
        <v>100</v>
      </c>
      <c r="J23" s="21">
        <f t="shared" si="0"/>
        <v>67</v>
      </c>
      <c r="K23" s="21">
        <f t="shared" si="3"/>
        <v>33</v>
      </c>
      <c r="L23" s="21">
        <f t="shared" si="4"/>
        <v>98.75</v>
      </c>
      <c r="M23" s="50">
        <f t="shared" si="5"/>
        <v>99.375</v>
      </c>
      <c r="O23" s="85">
        <v>4</v>
      </c>
      <c r="P23" s="20">
        <v>0</v>
      </c>
    </row>
    <row r="24" spans="1:16" x14ac:dyDescent="0.2">
      <c r="A24" s="86" t="s">
        <v>113</v>
      </c>
      <c r="B24" s="20">
        <v>18</v>
      </c>
      <c r="C24" s="20">
        <v>10</v>
      </c>
      <c r="D24" s="20">
        <v>10</v>
      </c>
      <c r="E24" s="20">
        <v>24.3</v>
      </c>
      <c r="F24" s="20">
        <v>24.3</v>
      </c>
      <c r="G24" s="20">
        <v>3</v>
      </c>
      <c r="H24" s="20">
        <f t="shared" si="1"/>
        <v>3</v>
      </c>
      <c r="I24" s="21">
        <f t="shared" si="2"/>
        <v>92.6</v>
      </c>
      <c r="J24" s="21">
        <f t="shared" si="0"/>
        <v>61.599999999999994</v>
      </c>
      <c r="K24" s="21">
        <f t="shared" si="3"/>
        <v>31</v>
      </c>
      <c r="L24" s="21">
        <f t="shared" si="4"/>
        <v>95.75</v>
      </c>
      <c r="M24" s="50">
        <f t="shared" si="5"/>
        <v>94.174999999999997</v>
      </c>
      <c r="O24" s="85">
        <v>5</v>
      </c>
      <c r="P24" s="20">
        <v>0</v>
      </c>
    </row>
    <row r="25" spans="1:16" x14ac:dyDescent="0.2">
      <c r="A25" s="86" t="s">
        <v>114</v>
      </c>
      <c r="B25" s="20">
        <v>18</v>
      </c>
      <c r="C25" s="20">
        <v>10</v>
      </c>
      <c r="D25" s="20">
        <v>10</v>
      </c>
      <c r="E25" s="20">
        <v>24.3</v>
      </c>
      <c r="F25" s="20">
        <v>25.92</v>
      </c>
      <c r="G25" s="20">
        <v>3</v>
      </c>
      <c r="H25" s="20">
        <f t="shared" si="1"/>
        <v>3</v>
      </c>
      <c r="I25" s="21">
        <f t="shared" si="2"/>
        <v>94.22</v>
      </c>
      <c r="J25" s="21">
        <f t="shared" si="0"/>
        <v>63.22</v>
      </c>
      <c r="K25" s="21">
        <f t="shared" si="3"/>
        <v>31</v>
      </c>
      <c r="L25" s="21">
        <f t="shared" si="4"/>
        <v>100</v>
      </c>
      <c r="M25" s="50">
        <f t="shared" si="5"/>
        <v>97.11</v>
      </c>
      <c r="O25" s="85">
        <v>2</v>
      </c>
      <c r="P25" s="20">
        <v>0</v>
      </c>
    </row>
    <row r="26" spans="1:16" x14ac:dyDescent="0.2">
      <c r="A26" s="86" t="s">
        <v>106</v>
      </c>
      <c r="B26" s="20">
        <v>20</v>
      </c>
      <c r="C26" s="20">
        <v>10</v>
      </c>
      <c r="D26" s="20">
        <v>10</v>
      </c>
      <c r="E26" s="20">
        <v>27</v>
      </c>
      <c r="F26" s="20">
        <v>26.19</v>
      </c>
      <c r="G26" s="20">
        <v>3</v>
      </c>
      <c r="H26" s="20">
        <f t="shared" si="1"/>
        <v>3</v>
      </c>
      <c r="I26" s="21">
        <f t="shared" si="2"/>
        <v>99.19</v>
      </c>
      <c r="J26" s="21">
        <f t="shared" si="0"/>
        <v>66.19</v>
      </c>
      <c r="K26" s="21">
        <f t="shared" si="3"/>
        <v>33</v>
      </c>
      <c r="L26" s="21">
        <f t="shared" si="4"/>
        <v>100</v>
      </c>
      <c r="M26" s="50">
        <f t="shared" si="5"/>
        <v>99.594999999999999</v>
      </c>
      <c r="O26" s="85">
        <v>3</v>
      </c>
      <c r="P26" s="20">
        <v>0</v>
      </c>
    </row>
    <row r="27" spans="1:16" x14ac:dyDescent="0.2">
      <c r="A27" s="86" t="s">
        <v>108</v>
      </c>
      <c r="B27" s="20">
        <v>18</v>
      </c>
      <c r="C27" s="20">
        <v>10</v>
      </c>
      <c r="D27" s="20">
        <v>10</v>
      </c>
      <c r="E27" s="20">
        <v>24.3</v>
      </c>
      <c r="F27" s="20">
        <v>24.3</v>
      </c>
      <c r="G27" s="20">
        <v>3</v>
      </c>
      <c r="H27" s="20">
        <f t="shared" si="1"/>
        <v>3</v>
      </c>
      <c r="I27" s="21">
        <f t="shared" ref="I27" si="6">B27+C27+D27+E27+F27+G27+H27</f>
        <v>92.6</v>
      </c>
      <c r="J27" s="21">
        <f t="shared" ref="J27" si="7">(C27+E27+F27+H27)</f>
        <v>61.599999999999994</v>
      </c>
      <c r="K27" s="21">
        <f t="shared" ref="K27" si="8">(B27+D27+G27)</f>
        <v>31</v>
      </c>
      <c r="L27" s="21">
        <f t="shared" ref="L27" si="9">F54</f>
        <v>99.875</v>
      </c>
      <c r="M27" s="50">
        <f t="shared" ref="M27" si="10">AVERAGE(L27,I27)</f>
        <v>96.237499999999997</v>
      </c>
      <c r="O27" s="85">
        <v>5</v>
      </c>
      <c r="P27" s="20">
        <v>0</v>
      </c>
    </row>
    <row r="28" spans="1:16" x14ac:dyDescent="0.2">
      <c r="O28" s="85"/>
    </row>
    <row r="29" spans="1:16" x14ac:dyDescent="0.2">
      <c r="B29" s="120" t="s">
        <v>84</v>
      </c>
      <c r="C29" s="120"/>
      <c r="D29" s="120"/>
      <c r="E29" s="120"/>
      <c r="F29" s="120"/>
      <c r="O29" s="41"/>
    </row>
    <row r="30" spans="1:16" x14ac:dyDescent="0.2">
      <c r="B30" s="22" t="s">
        <v>45</v>
      </c>
      <c r="C30" s="22" t="s">
        <v>46</v>
      </c>
      <c r="D30" s="22" t="s">
        <v>78</v>
      </c>
      <c r="E30" s="23" t="s">
        <v>79</v>
      </c>
      <c r="F30" s="23" t="s">
        <v>47</v>
      </c>
    </row>
    <row r="31" spans="1:16" x14ac:dyDescent="0.2">
      <c r="A31" s="86" t="s">
        <v>115</v>
      </c>
      <c r="B31" s="20">
        <v>100</v>
      </c>
      <c r="C31" s="20">
        <v>100</v>
      </c>
      <c r="D31" s="20">
        <v>100</v>
      </c>
      <c r="E31" s="20">
        <v>100</v>
      </c>
      <c r="F31" s="25">
        <f>AVERAGE(B31:E31)</f>
        <v>100</v>
      </c>
      <c r="H31" s="85">
        <v>2</v>
      </c>
    </row>
    <row r="32" spans="1:16" x14ac:dyDescent="0.2">
      <c r="A32" s="86" t="s">
        <v>116</v>
      </c>
      <c r="B32" s="20">
        <v>100</v>
      </c>
      <c r="C32" s="20">
        <v>100</v>
      </c>
      <c r="D32" s="20">
        <f>19/20*100</f>
        <v>95</v>
      </c>
      <c r="E32" s="20">
        <f>19/20*100</f>
        <v>95</v>
      </c>
      <c r="F32" s="25">
        <f t="shared" ref="F32:F53" si="11">AVERAGE(B32:E32)</f>
        <v>97.5</v>
      </c>
      <c r="H32" s="85">
        <v>3</v>
      </c>
    </row>
    <row r="33" spans="1:8" x14ac:dyDescent="0.2">
      <c r="A33" s="86" t="s">
        <v>117</v>
      </c>
      <c r="B33" s="20">
        <v>100</v>
      </c>
      <c r="C33" s="20">
        <v>100</v>
      </c>
      <c r="D33" s="20">
        <v>100</v>
      </c>
      <c r="E33" s="20">
        <v>100</v>
      </c>
      <c r="F33" s="25">
        <f t="shared" si="11"/>
        <v>100</v>
      </c>
      <c r="H33" s="85">
        <v>3</v>
      </c>
    </row>
    <row r="34" spans="1:8" x14ac:dyDescent="0.2">
      <c r="A34" s="86" t="s">
        <v>118</v>
      </c>
      <c r="B34" s="20">
        <v>100</v>
      </c>
      <c r="C34" s="20">
        <v>100</v>
      </c>
      <c r="D34" s="20">
        <v>100</v>
      </c>
      <c r="E34" s="20">
        <v>100</v>
      </c>
      <c r="F34" s="25">
        <f t="shared" si="11"/>
        <v>100</v>
      </c>
      <c r="H34" s="85">
        <v>2</v>
      </c>
    </row>
    <row r="35" spans="1:8" x14ac:dyDescent="0.2">
      <c r="A35" s="86" t="s">
        <v>119</v>
      </c>
      <c r="B35" s="20">
        <v>100</v>
      </c>
      <c r="C35" s="20">
        <v>100</v>
      </c>
      <c r="D35" s="20">
        <v>100</v>
      </c>
      <c r="E35" s="20">
        <v>100</v>
      </c>
      <c r="F35" s="25">
        <f t="shared" si="11"/>
        <v>100</v>
      </c>
      <c r="H35" s="85">
        <v>2</v>
      </c>
    </row>
    <row r="36" spans="1:8" x14ac:dyDescent="0.2">
      <c r="A36" s="86" t="s">
        <v>107</v>
      </c>
      <c r="B36" s="20">
        <v>100</v>
      </c>
      <c r="C36" s="20">
        <v>100</v>
      </c>
      <c r="D36" s="20">
        <v>100</v>
      </c>
      <c r="E36" s="20">
        <v>100</v>
      </c>
      <c r="F36" s="25">
        <f t="shared" si="11"/>
        <v>100</v>
      </c>
      <c r="H36" s="85">
        <v>1</v>
      </c>
    </row>
    <row r="37" spans="1:8" x14ac:dyDescent="0.2">
      <c r="A37" s="86" t="s">
        <v>135</v>
      </c>
      <c r="B37" s="20">
        <v>100</v>
      </c>
      <c r="C37" s="20">
        <v>100</v>
      </c>
      <c r="D37" s="20">
        <v>100</v>
      </c>
      <c r="E37" s="20">
        <v>100</v>
      </c>
      <c r="F37" s="25">
        <f t="shared" si="11"/>
        <v>100</v>
      </c>
      <c r="H37" s="85">
        <v>4</v>
      </c>
    </row>
    <row r="38" spans="1:8" x14ac:dyDescent="0.2">
      <c r="A38" s="86" t="s">
        <v>120</v>
      </c>
      <c r="B38" s="20">
        <v>100</v>
      </c>
      <c r="C38" s="20">
        <v>100</v>
      </c>
      <c r="D38" s="20">
        <v>100</v>
      </c>
      <c r="E38" s="20">
        <v>100</v>
      </c>
      <c r="F38" s="25">
        <f t="shared" si="11"/>
        <v>100</v>
      </c>
      <c r="H38" s="85">
        <v>1</v>
      </c>
    </row>
    <row r="39" spans="1:8" x14ac:dyDescent="0.2">
      <c r="A39" s="86" t="s">
        <v>109</v>
      </c>
      <c r="B39" s="20">
        <v>100</v>
      </c>
      <c r="C39" s="20">
        <v>100</v>
      </c>
      <c r="D39" s="20">
        <v>100</v>
      </c>
      <c r="E39" s="20">
        <v>100</v>
      </c>
      <c r="F39" s="25">
        <f t="shared" si="11"/>
        <v>100</v>
      </c>
      <c r="H39" s="85">
        <v>4</v>
      </c>
    </row>
    <row r="40" spans="1:8" x14ac:dyDescent="0.2">
      <c r="A40" s="86" t="s">
        <v>121</v>
      </c>
      <c r="B40" s="20">
        <v>100</v>
      </c>
      <c r="C40" s="20">
        <v>100</v>
      </c>
      <c r="D40" s="20">
        <v>100</v>
      </c>
      <c r="E40" s="20">
        <v>100</v>
      </c>
      <c r="F40" s="25">
        <f t="shared" si="11"/>
        <v>100</v>
      </c>
      <c r="H40" s="85">
        <v>4</v>
      </c>
    </row>
    <row r="41" spans="1:8" x14ac:dyDescent="0.2">
      <c r="A41" s="86" t="s">
        <v>122</v>
      </c>
      <c r="B41" s="20">
        <v>100</v>
      </c>
      <c r="C41" s="20">
        <v>100</v>
      </c>
      <c r="D41" s="20">
        <v>100</v>
      </c>
      <c r="E41" s="20">
        <v>100</v>
      </c>
      <c r="F41" s="25">
        <f t="shared" si="11"/>
        <v>100</v>
      </c>
      <c r="H41" s="85">
        <v>3</v>
      </c>
    </row>
    <row r="42" spans="1:8" x14ac:dyDescent="0.2">
      <c r="A42" s="86" t="s">
        <v>123</v>
      </c>
      <c r="B42" s="20">
        <f>17/20*100</f>
        <v>85</v>
      </c>
      <c r="C42" s="20">
        <v>100</v>
      </c>
      <c r="D42" s="20">
        <v>100</v>
      </c>
      <c r="E42" s="20">
        <f>19.6/20*100</f>
        <v>98.000000000000014</v>
      </c>
      <c r="F42" s="25">
        <f t="shared" si="11"/>
        <v>95.75</v>
      </c>
      <c r="H42" s="85">
        <v>5</v>
      </c>
    </row>
    <row r="43" spans="1:8" x14ac:dyDescent="0.2">
      <c r="A43" s="86" t="s">
        <v>124</v>
      </c>
      <c r="B43" s="20">
        <f>19/20*20</f>
        <v>19</v>
      </c>
      <c r="C43" s="20">
        <f>15/20*100</f>
        <v>75</v>
      </c>
      <c r="D43" s="20">
        <v>100</v>
      </c>
      <c r="E43" s="20">
        <f>19.8/20*100</f>
        <v>99</v>
      </c>
      <c r="F43" s="25">
        <f t="shared" si="11"/>
        <v>73.25</v>
      </c>
      <c r="H43" s="85">
        <v>5</v>
      </c>
    </row>
    <row r="44" spans="1:8" x14ac:dyDescent="0.2">
      <c r="A44" s="86" t="s">
        <v>110</v>
      </c>
      <c r="B44" s="20">
        <v>100</v>
      </c>
      <c r="C44" s="20">
        <v>100</v>
      </c>
      <c r="D44" s="20">
        <v>100</v>
      </c>
      <c r="E44" s="20">
        <v>100</v>
      </c>
      <c r="F44" s="25">
        <f t="shared" si="11"/>
        <v>100</v>
      </c>
      <c r="H44" s="85">
        <v>2</v>
      </c>
    </row>
    <row r="45" spans="1:8" x14ac:dyDescent="0.2">
      <c r="A45" s="86" t="s">
        <v>125</v>
      </c>
      <c r="B45" s="20">
        <v>100</v>
      </c>
      <c r="C45" s="20">
        <v>100</v>
      </c>
      <c r="D45" s="20">
        <v>100</v>
      </c>
      <c r="E45" s="20">
        <v>100</v>
      </c>
      <c r="F45" s="25">
        <f t="shared" si="11"/>
        <v>100</v>
      </c>
      <c r="H45" s="85">
        <v>1</v>
      </c>
    </row>
    <row r="46" spans="1:8" x14ac:dyDescent="0.2">
      <c r="A46" s="86" t="s">
        <v>111</v>
      </c>
      <c r="B46" s="20">
        <v>100</v>
      </c>
      <c r="C46" s="20">
        <v>100</v>
      </c>
      <c r="D46" s="20">
        <v>100</v>
      </c>
      <c r="E46" s="20">
        <v>100</v>
      </c>
      <c r="F46" s="25">
        <f t="shared" si="11"/>
        <v>100</v>
      </c>
      <c r="H46" s="85">
        <v>1</v>
      </c>
    </row>
    <row r="47" spans="1:8" x14ac:dyDescent="0.2">
      <c r="A47" s="86" t="s">
        <v>126</v>
      </c>
      <c r="B47" s="20">
        <v>100</v>
      </c>
      <c r="C47" s="20">
        <v>100</v>
      </c>
      <c r="D47" s="20">
        <v>100</v>
      </c>
      <c r="E47" s="20">
        <v>100</v>
      </c>
      <c r="F47" s="25">
        <f t="shared" si="11"/>
        <v>100</v>
      </c>
      <c r="H47" s="85">
        <v>3</v>
      </c>
    </row>
    <row r="48" spans="1:8" x14ac:dyDescent="0.2">
      <c r="A48" s="86" t="s">
        <v>112</v>
      </c>
      <c r="B48" s="20">
        <v>100</v>
      </c>
      <c r="C48" s="20">
        <v>100</v>
      </c>
      <c r="D48" s="20">
        <v>100</v>
      </c>
      <c r="E48" s="20">
        <v>100</v>
      </c>
      <c r="F48" s="25">
        <f t="shared" si="11"/>
        <v>100</v>
      </c>
      <c r="H48" s="85">
        <v>1</v>
      </c>
    </row>
    <row r="49" spans="1:8" x14ac:dyDescent="0.2">
      <c r="A49" s="86" t="s">
        <v>127</v>
      </c>
      <c r="B49" s="20">
        <v>100</v>
      </c>
      <c r="C49" s="20">
        <v>100</v>
      </c>
      <c r="D49" s="20">
        <v>100</v>
      </c>
      <c r="E49" s="20">
        <v>100</v>
      </c>
      <c r="F49" s="25">
        <f t="shared" si="11"/>
        <v>100</v>
      </c>
      <c r="H49" s="85">
        <v>4</v>
      </c>
    </row>
    <row r="50" spans="1:8" x14ac:dyDescent="0.2">
      <c r="A50" s="86" t="s">
        <v>128</v>
      </c>
      <c r="B50" s="20">
        <v>100</v>
      </c>
      <c r="C50" s="20">
        <v>100</v>
      </c>
      <c r="D50" s="20">
        <v>100</v>
      </c>
      <c r="E50" s="20">
        <f>19/20*100</f>
        <v>95</v>
      </c>
      <c r="F50" s="25">
        <f t="shared" si="11"/>
        <v>98.75</v>
      </c>
      <c r="H50" s="85">
        <v>4</v>
      </c>
    </row>
    <row r="51" spans="1:8" x14ac:dyDescent="0.2">
      <c r="A51" s="86" t="s">
        <v>113</v>
      </c>
      <c r="B51" s="20">
        <f>19/20*100</f>
        <v>95</v>
      </c>
      <c r="C51" s="20">
        <v>100</v>
      </c>
      <c r="D51" s="20">
        <f>18/20*100</f>
        <v>90</v>
      </c>
      <c r="E51" s="20">
        <f>19.6/20*100</f>
        <v>98.000000000000014</v>
      </c>
      <c r="F51" s="25">
        <f t="shared" si="11"/>
        <v>95.75</v>
      </c>
      <c r="H51" s="85">
        <v>5</v>
      </c>
    </row>
    <row r="52" spans="1:8" x14ac:dyDescent="0.2">
      <c r="A52" s="86" t="s">
        <v>114</v>
      </c>
      <c r="B52" s="20">
        <v>100</v>
      </c>
      <c r="C52" s="20">
        <v>100</v>
      </c>
      <c r="D52" s="20">
        <v>100</v>
      </c>
      <c r="E52" s="20">
        <v>100</v>
      </c>
      <c r="F52" s="25">
        <f t="shared" si="11"/>
        <v>100</v>
      </c>
      <c r="H52" s="85">
        <v>2</v>
      </c>
    </row>
    <row r="53" spans="1:8" x14ac:dyDescent="0.2">
      <c r="A53" s="86" t="s">
        <v>106</v>
      </c>
      <c r="B53" s="20">
        <v>100</v>
      </c>
      <c r="C53" s="20">
        <v>100</v>
      </c>
      <c r="D53" s="20">
        <v>100</v>
      </c>
      <c r="E53" s="20">
        <v>100</v>
      </c>
      <c r="F53" s="25">
        <f t="shared" si="11"/>
        <v>100</v>
      </c>
      <c r="H53" s="85">
        <v>3</v>
      </c>
    </row>
    <row r="54" spans="1:8" x14ac:dyDescent="0.2">
      <c r="A54" s="86" t="s">
        <v>108</v>
      </c>
      <c r="B54" s="20">
        <v>100</v>
      </c>
      <c r="C54" s="20">
        <v>100</v>
      </c>
      <c r="D54" s="20">
        <v>100</v>
      </c>
      <c r="E54" s="20">
        <f>19.9/20*100</f>
        <v>99.499999999999986</v>
      </c>
      <c r="F54" s="25">
        <f t="shared" ref="F54" si="12">AVERAGE(B54:E54)</f>
        <v>99.875</v>
      </c>
      <c r="H54" s="85">
        <v>5</v>
      </c>
    </row>
    <row r="55" spans="1:8" x14ac:dyDescent="0.2">
      <c r="A55" s="71"/>
      <c r="B55" s="70"/>
      <c r="C55" s="70"/>
      <c r="D55" s="70"/>
      <c r="E55" s="70"/>
      <c r="F55" s="70"/>
      <c r="H55" s="85"/>
    </row>
    <row r="56" spans="1:8" x14ac:dyDescent="0.2">
      <c r="B56" s="119" t="s">
        <v>134</v>
      </c>
      <c r="C56" s="119"/>
      <c r="D56" s="119"/>
      <c r="E56" s="119"/>
      <c r="F56" s="119"/>
    </row>
    <row r="57" spans="1:8" x14ac:dyDescent="0.2">
      <c r="B57" s="40">
        <v>43546</v>
      </c>
      <c r="C57" s="40">
        <v>43550</v>
      </c>
      <c r="D57" s="40">
        <v>43553</v>
      </c>
      <c r="E57" s="40">
        <v>43557</v>
      </c>
      <c r="F57" s="23" t="s">
        <v>47</v>
      </c>
    </row>
    <row r="58" spans="1:8" x14ac:dyDescent="0.2">
      <c r="A58" s="86" t="s">
        <v>115</v>
      </c>
      <c r="B58" s="20">
        <v>1</v>
      </c>
      <c r="C58" s="20">
        <v>1</v>
      </c>
      <c r="D58" s="20">
        <v>1</v>
      </c>
      <c r="E58" s="20">
        <v>1</v>
      </c>
      <c r="F58" s="25">
        <f>AVERAGE(B58:E58)*100</f>
        <v>100</v>
      </c>
      <c r="H58" s="85">
        <v>2</v>
      </c>
    </row>
    <row r="59" spans="1:8" x14ac:dyDescent="0.2">
      <c r="A59" s="86" t="s">
        <v>116</v>
      </c>
      <c r="B59" s="20">
        <v>1</v>
      </c>
      <c r="C59" s="20">
        <v>0.5</v>
      </c>
      <c r="D59" s="20">
        <v>1</v>
      </c>
      <c r="E59" s="20">
        <v>1</v>
      </c>
      <c r="F59" s="25">
        <f t="shared" ref="F59:F80" si="13">AVERAGE(B59:E59)*100</f>
        <v>87.5</v>
      </c>
      <c r="H59" s="85">
        <v>3</v>
      </c>
    </row>
    <row r="60" spans="1:8" x14ac:dyDescent="0.2">
      <c r="A60" s="86" t="s">
        <v>117</v>
      </c>
      <c r="B60" s="20">
        <v>1</v>
      </c>
      <c r="C60" s="20">
        <v>1</v>
      </c>
      <c r="D60" s="20">
        <v>1</v>
      </c>
      <c r="E60" s="20">
        <v>1</v>
      </c>
      <c r="F60" s="25">
        <f t="shared" si="13"/>
        <v>100</v>
      </c>
      <c r="H60" s="85">
        <v>3</v>
      </c>
    </row>
    <row r="61" spans="1:8" x14ac:dyDescent="0.2">
      <c r="A61" s="86" t="s">
        <v>118</v>
      </c>
      <c r="B61" s="20">
        <v>1</v>
      </c>
      <c r="C61" s="20">
        <v>1</v>
      </c>
      <c r="D61" s="20">
        <v>1</v>
      </c>
      <c r="E61" s="20">
        <v>1</v>
      </c>
      <c r="F61" s="25">
        <f t="shared" si="13"/>
        <v>100</v>
      </c>
      <c r="H61" s="85">
        <v>2</v>
      </c>
    </row>
    <row r="62" spans="1:8" x14ac:dyDescent="0.2">
      <c r="A62" s="86" t="s">
        <v>119</v>
      </c>
      <c r="B62" s="20">
        <v>1</v>
      </c>
      <c r="C62" s="20">
        <v>1</v>
      </c>
      <c r="D62" s="20">
        <v>1</v>
      </c>
      <c r="E62" s="20">
        <v>1</v>
      </c>
      <c r="F62" s="25">
        <f t="shared" si="13"/>
        <v>100</v>
      </c>
      <c r="H62" s="85">
        <v>2</v>
      </c>
    </row>
    <row r="63" spans="1:8" x14ac:dyDescent="0.2">
      <c r="A63" s="86" t="s">
        <v>107</v>
      </c>
      <c r="B63" s="20">
        <v>1</v>
      </c>
      <c r="C63" s="20">
        <v>1</v>
      </c>
      <c r="D63" s="20">
        <v>1</v>
      </c>
      <c r="E63" s="20">
        <v>1</v>
      </c>
      <c r="F63" s="25">
        <f t="shared" si="13"/>
        <v>100</v>
      </c>
      <c r="H63" s="85">
        <v>1</v>
      </c>
    </row>
    <row r="64" spans="1:8" x14ac:dyDescent="0.2">
      <c r="A64" s="86" t="s">
        <v>135</v>
      </c>
      <c r="B64" s="20">
        <v>1</v>
      </c>
      <c r="C64" s="20">
        <v>1</v>
      </c>
      <c r="D64" s="20">
        <v>1</v>
      </c>
      <c r="E64" s="20">
        <v>1</v>
      </c>
      <c r="F64" s="25">
        <f t="shared" si="13"/>
        <v>100</v>
      </c>
      <c r="H64" s="85">
        <v>4</v>
      </c>
    </row>
    <row r="65" spans="1:8" x14ac:dyDescent="0.2">
      <c r="A65" s="86" t="s">
        <v>120</v>
      </c>
      <c r="B65" s="20">
        <v>1</v>
      </c>
      <c r="C65" s="20">
        <v>1</v>
      </c>
      <c r="D65" s="20">
        <v>1</v>
      </c>
      <c r="E65" s="20">
        <v>1</v>
      </c>
      <c r="F65" s="25">
        <f t="shared" si="13"/>
        <v>100</v>
      </c>
      <c r="H65" s="85">
        <v>1</v>
      </c>
    </row>
    <row r="66" spans="1:8" x14ac:dyDescent="0.2">
      <c r="A66" s="86" t="s">
        <v>109</v>
      </c>
      <c r="B66" s="20">
        <v>1</v>
      </c>
      <c r="C66" s="20">
        <v>1</v>
      </c>
      <c r="D66" s="20">
        <v>1</v>
      </c>
      <c r="E66" s="20">
        <v>1</v>
      </c>
      <c r="F66" s="25">
        <f t="shared" si="13"/>
        <v>100</v>
      </c>
      <c r="H66" s="85">
        <v>4</v>
      </c>
    </row>
    <row r="67" spans="1:8" x14ac:dyDescent="0.2">
      <c r="A67" s="86" t="s">
        <v>121</v>
      </c>
      <c r="B67" s="20">
        <v>1</v>
      </c>
      <c r="C67" s="20">
        <v>1</v>
      </c>
      <c r="D67" s="20">
        <v>1</v>
      </c>
      <c r="E67" s="20">
        <v>1</v>
      </c>
      <c r="F67" s="25">
        <f t="shared" si="13"/>
        <v>100</v>
      </c>
      <c r="H67" s="85">
        <v>4</v>
      </c>
    </row>
    <row r="68" spans="1:8" x14ac:dyDescent="0.2">
      <c r="A68" s="86" t="s">
        <v>122</v>
      </c>
      <c r="B68" s="20">
        <v>1</v>
      </c>
      <c r="C68" s="20">
        <v>1</v>
      </c>
      <c r="D68" s="20">
        <v>1</v>
      </c>
      <c r="E68" s="20">
        <v>1</v>
      </c>
      <c r="F68" s="25">
        <f t="shared" si="13"/>
        <v>100</v>
      </c>
      <c r="H68" s="85">
        <v>3</v>
      </c>
    </row>
    <row r="69" spans="1:8" x14ac:dyDescent="0.2">
      <c r="A69" s="86" t="s">
        <v>123</v>
      </c>
      <c r="B69" s="20">
        <v>1</v>
      </c>
      <c r="C69" s="20">
        <v>1</v>
      </c>
      <c r="D69" s="20">
        <v>1</v>
      </c>
      <c r="E69" s="20">
        <v>1</v>
      </c>
      <c r="F69" s="25">
        <f t="shared" si="13"/>
        <v>100</v>
      </c>
      <c r="H69" s="85">
        <v>5</v>
      </c>
    </row>
    <row r="70" spans="1:8" x14ac:dyDescent="0.2">
      <c r="A70" s="86" t="s">
        <v>124</v>
      </c>
      <c r="B70" s="20">
        <v>1</v>
      </c>
      <c r="C70" s="20">
        <v>1</v>
      </c>
      <c r="D70" s="20">
        <v>1</v>
      </c>
      <c r="E70" s="20">
        <v>1</v>
      </c>
      <c r="F70" s="25">
        <f t="shared" si="13"/>
        <v>100</v>
      </c>
      <c r="H70" s="85">
        <v>5</v>
      </c>
    </row>
    <row r="71" spans="1:8" x14ac:dyDescent="0.2">
      <c r="A71" s="86" t="s">
        <v>110</v>
      </c>
      <c r="B71" s="20">
        <v>1</v>
      </c>
      <c r="C71" s="20">
        <v>1</v>
      </c>
      <c r="D71" s="20">
        <v>1</v>
      </c>
      <c r="E71" s="20">
        <v>1</v>
      </c>
      <c r="F71" s="25">
        <f t="shared" si="13"/>
        <v>100</v>
      </c>
      <c r="H71" s="85">
        <v>2</v>
      </c>
    </row>
    <row r="72" spans="1:8" x14ac:dyDescent="0.2">
      <c r="A72" s="86" t="s">
        <v>125</v>
      </c>
      <c r="B72" s="20">
        <v>1</v>
      </c>
      <c r="C72" s="20">
        <v>1</v>
      </c>
      <c r="D72" s="20">
        <v>1</v>
      </c>
      <c r="E72" s="20">
        <v>1</v>
      </c>
      <c r="F72" s="25">
        <f t="shared" si="13"/>
        <v>100</v>
      </c>
      <c r="H72" s="85">
        <v>1</v>
      </c>
    </row>
    <row r="73" spans="1:8" x14ac:dyDescent="0.2">
      <c r="A73" s="86" t="s">
        <v>111</v>
      </c>
      <c r="B73" s="20">
        <v>1</v>
      </c>
      <c r="C73" s="20">
        <v>1</v>
      </c>
      <c r="D73" s="20">
        <v>1</v>
      </c>
      <c r="E73" s="20">
        <v>1</v>
      </c>
      <c r="F73" s="25">
        <f t="shared" si="13"/>
        <v>100</v>
      </c>
      <c r="H73" s="85">
        <v>1</v>
      </c>
    </row>
    <row r="74" spans="1:8" x14ac:dyDescent="0.2">
      <c r="A74" s="86" t="s">
        <v>126</v>
      </c>
      <c r="B74" s="20">
        <v>1</v>
      </c>
      <c r="C74" s="20">
        <v>1</v>
      </c>
      <c r="D74" s="20">
        <v>1</v>
      </c>
      <c r="E74" s="20">
        <v>1</v>
      </c>
      <c r="F74" s="25">
        <f t="shared" si="13"/>
        <v>100</v>
      </c>
      <c r="H74" s="85">
        <v>3</v>
      </c>
    </row>
    <row r="75" spans="1:8" x14ac:dyDescent="0.2">
      <c r="A75" s="86" t="s">
        <v>112</v>
      </c>
      <c r="B75" s="20">
        <v>1</v>
      </c>
      <c r="C75" s="20">
        <v>1</v>
      </c>
      <c r="D75" s="20">
        <v>1</v>
      </c>
      <c r="E75" s="20">
        <v>1</v>
      </c>
      <c r="F75" s="25">
        <f t="shared" si="13"/>
        <v>100</v>
      </c>
      <c r="H75" s="85">
        <v>1</v>
      </c>
    </row>
    <row r="76" spans="1:8" x14ac:dyDescent="0.2">
      <c r="A76" s="86" t="s">
        <v>127</v>
      </c>
      <c r="B76" s="20">
        <v>1</v>
      </c>
      <c r="C76" s="20">
        <v>1</v>
      </c>
      <c r="D76" s="20">
        <v>1</v>
      </c>
      <c r="E76" s="20">
        <v>1</v>
      </c>
      <c r="F76" s="25">
        <f t="shared" si="13"/>
        <v>100</v>
      </c>
      <c r="H76" s="85">
        <v>4</v>
      </c>
    </row>
    <row r="77" spans="1:8" x14ac:dyDescent="0.2">
      <c r="A77" s="86" t="s">
        <v>128</v>
      </c>
      <c r="B77" s="20">
        <v>1</v>
      </c>
      <c r="C77" s="20">
        <v>1</v>
      </c>
      <c r="D77" s="20">
        <v>1</v>
      </c>
      <c r="E77" s="20">
        <v>1</v>
      </c>
      <c r="F77" s="25">
        <f t="shared" si="13"/>
        <v>100</v>
      </c>
      <c r="H77" s="85">
        <v>4</v>
      </c>
    </row>
    <row r="78" spans="1:8" x14ac:dyDescent="0.2">
      <c r="A78" s="86" t="s">
        <v>113</v>
      </c>
      <c r="B78" s="20">
        <v>1</v>
      </c>
      <c r="C78" s="20">
        <v>1</v>
      </c>
      <c r="D78" s="20">
        <v>1</v>
      </c>
      <c r="E78" s="20">
        <v>1</v>
      </c>
      <c r="F78" s="25">
        <f t="shared" si="13"/>
        <v>100</v>
      </c>
      <c r="H78" s="85">
        <v>5</v>
      </c>
    </row>
    <row r="79" spans="1:8" x14ac:dyDescent="0.2">
      <c r="A79" s="86" t="s">
        <v>114</v>
      </c>
      <c r="B79" s="20">
        <v>1</v>
      </c>
      <c r="C79" s="20">
        <v>1</v>
      </c>
      <c r="D79" s="20">
        <v>1</v>
      </c>
      <c r="E79" s="20">
        <v>1</v>
      </c>
      <c r="F79" s="25">
        <f t="shared" si="13"/>
        <v>100</v>
      </c>
      <c r="H79" s="85">
        <v>2</v>
      </c>
    </row>
    <row r="80" spans="1:8" x14ac:dyDescent="0.2">
      <c r="A80" s="86" t="s">
        <v>106</v>
      </c>
      <c r="B80" s="20">
        <v>1</v>
      </c>
      <c r="C80" s="20">
        <v>1</v>
      </c>
      <c r="D80" s="20">
        <v>1</v>
      </c>
      <c r="E80" s="20">
        <v>1</v>
      </c>
      <c r="F80" s="25">
        <f t="shared" si="13"/>
        <v>100</v>
      </c>
      <c r="H80" s="85">
        <v>3</v>
      </c>
    </row>
    <row r="81" spans="1:8" x14ac:dyDescent="0.2">
      <c r="A81" s="86" t="s">
        <v>108</v>
      </c>
      <c r="B81" s="20">
        <v>1</v>
      </c>
      <c r="C81" s="20">
        <v>1</v>
      </c>
      <c r="D81" s="20">
        <v>1</v>
      </c>
      <c r="E81" s="20">
        <v>1</v>
      </c>
      <c r="F81" s="25">
        <f t="shared" ref="F81" si="14">AVERAGE(B81:E81)*100</f>
        <v>100</v>
      </c>
      <c r="H81" s="85">
        <v>5</v>
      </c>
    </row>
    <row r="82" spans="1:8" x14ac:dyDescent="0.2">
      <c r="H82" s="85"/>
    </row>
  </sheetData>
  <sheetProtection selectLockedCells="1" selectUnlockedCells="1"/>
  <mergeCells count="3">
    <mergeCell ref="A1:K1"/>
    <mergeCell ref="B56:F56"/>
    <mergeCell ref="B29:F29"/>
  </mergeCells>
  <pageMargins left="0.19652777777777777" right="0.19652777777777777" top="0.19652777777777777" bottom="0.19652777777777777" header="0.51180555555555551" footer="0.51180555555555551"/>
  <pageSetup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2"/>
  <sheetViews>
    <sheetView workbookViewId="0">
      <pane xSplit="1" ySplit="3" topLeftCell="B4" activePane="bottomRight" state="frozen"/>
      <selection pane="topRight" activeCell="C1" sqref="C1"/>
      <selection pane="bottomLeft" activeCell="A9" sqref="A9"/>
      <selection pane="bottomRight" activeCell="C32" sqref="C32"/>
    </sheetView>
  </sheetViews>
  <sheetFormatPr baseColWidth="10" defaultColWidth="11.42578125" defaultRowHeight="12.75" x14ac:dyDescent="0.2"/>
  <cols>
    <col min="1" max="1" width="7.7109375" style="8" customWidth="1"/>
    <col min="2" max="8" width="10.7109375" style="8" customWidth="1"/>
    <col min="9" max="11" width="15.7109375" style="8" customWidth="1"/>
    <col min="12" max="13" width="15.5703125" style="8" customWidth="1"/>
    <col min="14" max="14" width="10.5703125" style="8" customWidth="1"/>
    <col min="15" max="16384" width="11.42578125" style="8"/>
  </cols>
  <sheetData>
    <row r="1" spans="1:17" ht="15.75" x14ac:dyDescent="0.25">
      <c r="A1" s="118" t="s">
        <v>48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7" x14ac:dyDescent="0.2">
      <c r="A2" s="9"/>
      <c r="B2" s="17"/>
      <c r="C2" s="18"/>
      <c r="D2" s="18"/>
      <c r="E2" s="18"/>
      <c r="F2" s="18"/>
      <c r="G2" s="18"/>
      <c r="H2" s="18"/>
      <c r="I2" s="18"/>
      <c r="J2" s="10"/>
      <c r="K2" s="10"/>
    </row>
    <row r="3" spans="1:17" x14ac:dyDescent="0.2">
      <c r="A3" s="19" t="s">
        <v>1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 t="s">
        <v>39</v>
      </c>
      <c r="J3" s="19" t="s">
        <v>41</v>
      </c>
      <c r="K3" s="19" t="s">
        <v>42</v>
      </c>
      <c r="L3" s="19" t="s">
        <v>85</v>
      </c>
      <c r="M3" s="69" t="s">
        <v>86</v>
      </c>
    </row>
    <row r="4" spans="1:17" x14ac:dyDescent="0.2">
      <c r="A4" s="86" t="s">
        <v>115</v>
      </c>
      <c r="B4" s="20">
        <v>20</v>
      </c>
      <c r="C4" s="20">
        <v>10</v>
      </c>
      <c r="D4" s="20">
        <v>10</v>
      </c>
      <c r="E4" s="20">
        <v>27</v>
      </c>
      <c r="F4" s="20">
        <f>P4*27/100</f>
        <v>27</v>
      </c>
      <c r="G4" s="20">
        <v>3</v>
      </c>
      <c r="H4" s="20">
        <f>F58*0.03</f>
        <v>3</v>
      </c>
      <c r="I4" s="21">
        <f>B4+C4+D4+E4+F4+G4+H4</f>
        <v>100</v>
      </c>
      <c r="J4" s="21">
        <f t="shared" ref="J4:J6" si="0">(C4+E4+F4+H4)</f>
        <v>67</v>
      </c>
      <c r="K4" s="21">
        <f>(B4+D4+G4)</f>
        <v>33</v>
      </c>
      <c r="L4" s="21">
        <f>F31</f>
        <v>100</v>
      </c>
      <c r="M4" s="50">
        <f>AVERAGE(L4,I4)</f>
        <v>100</v>
      </c>
      <c r="O4" s="85">
        <v>2</v>
      </c>
      <c r="P4" s="20">
        <v>100</v>
      </c>
    </row>
    <row r="5" spans="1:17" x14ac:dyDescent="0.2">
      <c r="A5" s="86" t="s">
        <v>116</v>
      </c>
      <c r="B5" s="20">
        <v>20</v>
      </c>
      <c r="C5" s="20">
        <v>10</v>
      </c>
      <c r="D5" s="20">
        <v>10</v>
      </c>
      <c r="E5" s="20">
        <v>27</v>
      </c>
      <c r="F5" s="20">
        <f t="shared" ref="F5:F27" si="1">P5*27/100</f>
        <v>18.09</v>
      </c>
      <c r="G5" s="20">
        <v>3</v>
      </c>
      <c r="H5" s="20">
        <f t="shared" ref="H5:H27" si="2">F59*0.03</f>
        <v>1.875</v>
      </c>
      <c r="I5" s="21">
        <f t="shared" ref="I5:I7" si="3">B5+C5+D5+E5+F5+G5+H5</f>
        <v>89.965000000000003</v>
      </c>
      <c r="J5" s="21">
        <f t="shared" si="0"/>
        <v>56.965000000000003</v>
      </c>
      <c r="K5" s="21">
        <f t="shared" ref="K5:K7" si="4">(B5+D5+G5)</f>
        <v>33</v>
      </c>
      <c r="L5" s="21">
        <f>F32</f>
        <v>98.75</v>
      </c>
      <c r="M5" s="50">
        <f t="shared" ref="M5:M7" si="5">AVERAGE(L5,I5)</f>
        <v>94.357500000000002</v>
      </c>
      <c r="O5" s="85">
        <v>3</v>
      </c>
      <c r="P5" s="20">
        <v>67</v>
      </c>
    </row>
    <row r="6" spans="1:17" x14ac:dyDescent="0.2">
      <c r="A6" s="86" t="s">
        <v>117</v>
      </c>
      <c r="B6" s="20">
        <v>20</v>
      </c>
      <c r="C6" s="20">
        <v>10</v>
      </c>
      <c r="D6" s="20">
        <v>10</v>
      </c>
      <c r="E6" s="20">
        <v>27</v>
      </c>
      <c r="F6" s="20">
        <f t="shared" si="1"/>
        <v>18.09</v>
      </c>
      <c r="G6" s="20">
        <v>3</v>
      </c>
      <c r="H6" s="20">
        <f t="shared" si="2"/>
        <v>3</v>
      </c>
      <c r="I6" s="21">
        <f t="shared" si="3"/>
        <v>91.09</v>
      </c>
      <c r="J6" s="21">
        <f t="shared" si="0"/>
        <v>58.09</v>
      </c>
      <c r="K6" s="21">
        <f t="shared" si="4"/>
        <v>33</v>
      </c>
      <c r="L6" s="21">
        <f>F33</f>
        <v>100</v>
      </c>
      <c r="M6" s="50">
        <f t="shared" si="5"/>
        <v>95.545000000000002</v>
      </c>
      <c r="O6" s="85">
        <v>3</v>
      </c>
      <c r="P6" s="20">
        <v>67</v>
      </c>
    </row>
    <row r="7" spans="1:17" x14ac:dyDescent="0.2">
      <c r="A7" s="86" t="s">
        <v>118</v>
      </c>
      <c r="B7" s="20">
        <v>20</v>
      </c>
      <c r="C7" s="20">
        <v>10</v>
      </c>
      <c r="D7" s="20">
        <v>10</v>
      </c>
      <c r="E7" s="20">
        <v>27</v>
      </c>
      <c r="F7" s="20">
        <f t="shared" si="1"/>
        <v>27</v>
      </c>
      <c r="G7" s="20">
        <v>3</v>
      </c>
      <c r="H7" s="20">
        <f t="shared" si="2"/>
        <v>3</v>
      </c>
      <c r="I7" s="21">
        <f t="shared" si="3"/>
        <v>100</v>
      </c>
      <c r="J7" s="21">
        <f t="shared" ref="J7:J27" si="6">(C7+E7+F7+H7)</f>
        <v>67</v>
      </c>
      <c r="K7" s="21">
        <f t="shared" si="4"/>
        <v>33</v>
      </c>
      <c r="L7" s="21">
        <f t="shared" ref="L7:L27" si="7">F34</f>
        <v>100</v>
      </c>
      <c r="M7" s="50">
        <f t="shared" si="5"/>
        <v>100</v>
      </c>
      <c r="N7" s="31"/>
      <c r="O7" s="85">
        <v>2</v>
      </c>
      <c r="P7" s="20">
        <v>100</v>
      </c>
    </row>
    <row r="8" spans="1:17" x14ac:dyDescent="0.2">
      <c r="A8" s="86" t="s">
        <v>119</v>
      </c>
      <c r="B8" s="20">
        <v>20</v>
      </c>
      <c r="C8" s="20">
        <v>10</v>
      </c>
      <c r="D8" s="20">
        <v>10</v>
      </c>
      <c r="E8" s="20">
        <v>27</v>
      </c>
      <c r="F8" s="20">
        <f t="shared" si="1"/>
        <v>27</v>
      </c>
      <c r="G8" s="20">
        <v>3</v>
      </c>
      <c r="H8" s="20">
        <f t="shared" si="2"/>
        <v>2.25</v>
      </c>
      <c r="I8" s="21">
        <f t="shared" ref="I8:I27" si="8">B8+C8+D8+E8+F8+G8+H8</f>
        <v>99.25</v>
      </c>
      <c r="J8" s="21">
        <f t="shared" si="6"/>
        <v>66.25</v>
      </c>
      <c r="K8" s="21">
        <f t="shared" ref="K8:K27" si="9">(B8+D8+G8)</f>
        <v>33</v>
      </c>
      <c r="L8" s="21">
        <f t="shared" si="7"/>
        <v>100</v>
      </c>
      <c r="M8" s="50">
        <f t="shared" ref="M8:M27" si="10">AVERAGE(L8,I8)</f>
        <v>99.625</v>
      </c>
      <c r="N8" s="31"/>
      <c r="O8" s="85">
        <v>2</v>
      </c>
      <c r="P8" s="20">
        <v>100</v>
      </c>
    </row>
    <row r="9" spans="1:17" x14ac:dyDescent="0.2">
      <c r="A9" s="86" t="s">
        <v>107</v>
      </c>
      <c r="B9" s="20">
        <v>20</v>
      </c>
      <c r="C9" s="20">
        <v>10</v>
      </c>
      <c r="D9" s="20">
        <v>10</v>
      </c>
      <c r="E9" s="20">
        <v>27</v>
      </c>
      <c r="F9" s="20">
        <f t="shared" si="1"/>
        <v>27</v>
      </c>
      <c r="G9" s="20">
        <v>3</v>
      </c>
      <c r="H9" s="20">
        <f t="shared" si="2"/>
        <v>3</v>
      </c>
      <c r="I9" s="21">
        <f t="shared" si="8"/>
        <v>100</v>
      </c>
      <c r="J9" s="21">
        <f t="shared" si="6"/>
        <v>67</v>
      </c>
      <c r="K9" s="21">
        <f t="shared" si="9"/>
        <v>33</v>
      </c>
      <c r="L9" s="21">
        <f t="shared" si="7"/>
        <v>100</v>
      </c>
      <c r="M9" s="50">
        <f t="shared" si="10"/>
        <v>100</v>
      </c>
      <c r="O9" s="85">
        <v>1</v>
      </c>
      <c r="P9" s="20">
        <v>100</v>
      </c>
    </row>
    <row r="10" spans="1:17" x14ac:dyDescent="0.2">
      <c r="A10" s="86" t="s">
        <v>135</v>
      </c>
      <c r="B10" s="20">
        <v>0</v>
      </c>
      <c r="C10" s="20">
        <v>0</v>
      </c>
      <c r="D10" s="20">
        <v>0</v>
      </c>
      <c r="E10" s="20">
        <v>27</v>
      </c>
      <c r="F10" s="20">
        <f t="shared" si="1"/>
        <v>0</v>
      </c>
      <c r="G10" s="20">
        <v>3</v>
      </c>
      <c r="H10" s="20">
        <f t="shared" si="2"/>
        <v>0.75</v>
      </c>
      <c r="I10" s="21">
        <f t="shared" si="8"/>
        <v>30.75</v>
      </c>
      <c r="J10" s="21">
        <f t="shared" si="6"/>
        <v>27.75</v>
      </c>
      <c r="K10" s="21">
        <f t="shared" si="9"/>
        <v>3</v>
      </c>
      <c r="L10" s="21">
        <f t="shared" si="7"/>
        <v>65</v>
      </c>
      <c r="M10" s="50">
        <f t="shared" si="10"/>
        <v>47.875</v>
      </c>
      <c r="N10" s="31"/>
      <c r="O10" s="85">
        <v>4</v>
      </c>
      <c r="P10" s="20">
        <v>0</v>
      </c>
    </row>
    <row r="11" spans="1:17" x14ac:dyDescent="0.2">
      <c r="A11" s="86" t="s">
        <v>120</v>
      </c>
      <c r="B11" s="20">
        <v>20</v>
      </c>
      <c r="C11" s="20">
        <v>10</v>
      </c>
      <c r="D11" s="20">
        <v>10</v>
      </c>
      <c r="E11" s="20">
        <v>27</v>
      </c>
      <c r="F11" s="20">
        <f t="shared" si="1"/>
        <v>27</v>
      </c>
      <c r="G11" s="20">
        <v>3</v>
      </c>
      <c r="H11" s="20">
        <f t="shared" si="2"/>
        <v>3</v>
      </c>
      <c r="I11" s="21">
        <f t="shared" si="8"/>
        <v>100</v>
      </c>
      <c r="J11" s="21">
        <f t="shared" si="6"/>
        <v>67</v>
      </c>
      <c r="K11" s="21">
        <f t="shared" si="9"/>
        <v>33</v>
      </c>
      <c r="L11" s="21">
        <f t="shared" si="7"/>
        <v>100</v>
      </c>
      <c r="M11" s="50">
        <f t="shared" si="10"/>
        <v>100</v>
      </c>
      <c r="O11" s="85">
        <v>1</v>
      </c>
      <c r="P11" s="20">
        <v>100</v>
      </c>
    </row>
    <row r="12" spans="1:17" x14ac:dyDescent="0.2">
      <c r="A12" s="86" t="s">
        <v>109</v>
      </c>
      <c r="B12" s="20">
        <v>20</v>
      </c>
      <c r="C12" s="20">
        <v>10</v>
      </c>
      <c r="D12" s="20">
        <v>10</v>
      </c>
      <c r="E12" s="20">
        <v>27</v>
      </c>
      <c r="F12" s="20">
        <f t="shared" si="1"/>
        <v>25.11</v>
      </c>
      <c r="G12" s="20">
        <v>3</v>
      </c>
      <c r="H12" s="20">
        <f t="shared" si="2"/>
        <v>0.75</v>
      </c>
      <c r="I12" s="21">
        <f t="shared" si="8"/>
        <v>95.86</v>
      </c>
      <c r="J12" s="21">
        <f t="shared" si="6"/>
        <v>62.86</v>
      </c>
      <c r="K12" s="21">
        <f t="shared" si="9"/>
        <v>33</v>
      </c>
      <c r="L12" s="21">
        <f t="shared" si="7"/>
        <v>100</v>
      </c>
      <c r="M12" s="50">
        <f t="shared" si="10"/>
        <v>97.93</v>
      </c>
      <c r="O12" s="85">
        <v>4</v>
      </c>
      <c r="P12" s="20">
        <v>93</v>
      </c>
    </row>
    <row r="13" spans="1:17" x14ac:dyDescent="0.2">
      <c r="A13" s="86" t="s">
        <v>121</v>
      </c>
      <c r="B13" s="20">
        <v>20</v>
      </c>
      <c r="C13" s="20">
        <v>10</v>
      </c>
      <c r="D13" s="20">
        <v>10</v>
      </c>
      <c r="E13" s="20">
        <v>27</v>
      </c>
      <c r="F13" s="20">
        <f t="shared" si="1"/>
        <v>25.11</v>
      </c>
      <c r="G13" s="20">
        <v>3</v>
      </c>
      <c r="H13" s="20">
        <f t="shared" si="2"/>
        <v>3</v>
      </c>
      <c r="I13" s="21">
        <f t="shared" si="8"/>
        <v>98.11</v>
      </c>
      <c r="J13" s="21">
        <f t="shared" si="6"/>
        <v>65.11</v>
      </c>
      <c r="K13" s="21">
        <f t="shared" si="9"/>
        <v>33</v>
      </c>
      <c r="L13" s="21">
        <f t="shared" si="7"/>
        <v>100</v>
      </c>
      <c r="M13" s="50">
        <f t="shared" si="10"/>
        <v>99.055000000000007</v>
      </c>
      <c r="O13" s="85">
        <v>4</v>
      </c>
      <c r="P13" s="20">
        <v>93</v>
      </c>
    </row>
    <row r="14" spans="1:17" x14ac:dyDescent="0.2">
      <c r="A14" s="86" t="s">
        <v>122</v>
      </c>
      <c r="B14" s="20">
        <v>20</v>
      </c>
      <c r="C14" s="20">
        <v>10</v>
      </c>
      <c r="D14" s="20">
        <v>10</v>
      </c>
      <c r="E14" s="20">
        <v>27</v>
      </c>
      <c r="F14" s="20">
        <f t="shared" si="1"/>
        <v>18.09</v>
      </c>
      <c r="G14" s="20">
        <v>3</v>
      </c>
      <c r="H14" s="20">
        <f t="shared" si="2"/>
        <v>3</v>
      </c>
      <c r="I14" s="21">
        <f t="shared" si="8"/>
        <v>91.09</v>
      </c>
      <c r="J14" s="21">
        <f t="shared" si="6"/>
        <v>58.09</v>
      </c>
      <c r="K14" s="21">
        <f t="shared" si="9"/>
        <v>33</v>
      </c>
      <c r="L14" s="21">
        <f t="shared" si="7"/>
        <v>96.25</v>
      </c>
      <c r="M14" s="50">
        <f t="shared" si="10"/>
        <v>93.67</v>
      </c>
      <c r="O14" s="85">
        <v>3</v>
      </c>
      <c r="P14" s="20">
        <v>67</v>
      </c>
    </row>
    <row r="15" spans="1:17" x14ac:dyDescent="0.2">
      <c r="A15" s="86" t="s">
        <v>123</v>
      </c>
      <c r="B15" s="20">
        <v>0</v>
      </c>
      <c r="C15" s="20">
        <v>0</v>
      </c>
      <c r="D15" s="20">
        <v>0</v>
      </c>
      <c r="E15" s="20">
        <v>27</v>
      </c>
      <c r="F15" s="20">
        <f t="shared" si="1"/>
        <v>27</v>
      </c>
      <c r="G15" s="20">
        <v>3</v>
      </c>
      <c r="H15" s="20">
        <f t="shared" si="2"/>
        <v>3</v>
      </c>
      <c r="I15" s="21">
        <f t="shared" si="8"/>
        <v>60</v>
      </c>
      <c r="J15" s="21">
        <f t="shared" si="6"/>
        <v>57</v>
      </c>
      <c r="K15" s="21">
        <f t="shared" si="9"/>
        <v>3</v>
      </c>
      <c r="L15" s="21">
        <f t="shared" si="7"/>
        <v>75</v>
      </c>
      <c r="M15" s="50">
        <f t="shared" si="10"/>
        <v>67.5</v>
      </c>
      <c r="O15" s="85">
        <v>5</v>
      </c>
      <c r="P15" s="20">
        <v>100</v>
      </c>
    </row>
    <row r="16" spans="1:17" x14ac:dyDescent="0.2">
      <c r="A16" s="86" t="s">
        <v>124</v>
      </c>
      <c r="B16" s="20">
        <v>0</v>
      </c>
      <c r="C16" s="20">
        <v>0</v>
      </c>
      <c r="D16" s="20">
        <v>0</v>
      </c>
      <c r="E16" s="20">
        <v>27</v>
      </c>
      <c r="F16" s="20">
        <f t="shared" si="1"/>
        <v>27</v>
      </c>
      <c r="G16" s="20">
        <v>3</v>
      </c>
      <c r="H16" s="20">
        <f t="shared" si="2"/>
        <v>2.25</v>
      </c>
      <c r="I16" s="21">
        <f t="shared" si="8"/>
        <v>59.25</v>
      </c>
      <c r="J16" s="21">
        <f t="shared" si="6"/>
        <v>56.25</v>
      </c>
      <c r="K16" s="21">
        <f t="shared" si="9"/>
        <v>3</v>
      </c>
      <c r="L16" s="21">
        <f t="shared" si="7"/>
        <v>75</v>
      </c>
      <c r="M16" s="50">
        <f t="shared" si="10"/>
        <v>67.125</v>
      </c>
      <c r="O16" s="85">
        <v>5</v>
      </c>
      <c r="P16" s="20">
        <v>100</v>
      </c>
      <c r="Q16" s="31" t="s">
        <v>89</v>
      </c>
    </row>
    <row r="17" spans="1:16" x14ac:dyDescent="0.2">
      <c r="A17" s="86" t="s">
        <v>110</v>
      </c>
      <c r="B17" s="20">
        <v>20</v>
      </c>
      <c r="C17" s="20">
        <v>10</v>
      </c>
      <c r="D17" s="20">
        <v>10</v>
      </c>
      <c r="E17" s="20">
        <v>27</v>
      </c>
      <c r="F17" s="20">
        <f t="shared" si="1"/>
        <v>27</v>
      </c>
      <c r="G17" s="20">
        <v>3</v>
      </c>
      <c r="H17" s="20">
        <f t="shared" si="2"/>
        <v>3</v>
      </c>
      <c r="I17" s="21">
        <f t="shared" si="8"/>
        <v>100</v>
      </c>
      <c r="J17" s="21">
        <f t="shared" si="6"/>
        <v>67</v>
      </c>
      <c r="K17" s="21">
        <f t="shared" si="9"/>
        <v>33</v>
      </c>
      <c r="L17" s="21">
        <f t="shared" si="7"/>
        <v>100</v>
      </c>
      <c r="M17" s="50">
        <f t="shared" si="10"/>
        <v>100</v>
      </c>
      <c r="N17" s="31"/>
      <c r="O17" s="85">
        <v>2</v>
      </c>
      <c r="P17" s="20">
        <v>100</v>
      </c>
    </row>
    <row r="18" spans="1:16" x14ac:dyDescent="0.2">
      <c r="A18" s="86" t="s">
        <v>125</v>
      </c>
      <c r="B18" s="20">
        <v>20</v>
      </c>
      <c r="C18" s="20">
        <v>10</v>
      </c>
      <c r="D18" s="20">
        <v>10</v>
      </c>
      <c r="E18" s="20">
        <v>27</v>
      </c>
      <c r="F18" s="20">
        <f t="shared" si="1"/>
        <v>27</v>
      </c>
      <c r="G18" s="20">
        <v>3</v>
      </c>
      <c r="H18" s="20">
        <f t="shared" si="2"/>
        <v>2.25</v>
      </c>
      <c r="I18" s="21">
        <f t="shared" si="8"/>
        <v>99.25</v>
      </c>
      <c r="J18" s="21">
        <f t="shared" si="6"/>
        <v>66.25</v>
      </c>
      <c r="K18" s="21">
        <f t="shared" si="9"/>
        <v>33</v>
      </c>
      <c r="L18" s="21">
        <f t="shared" si="7"/>
        <v>100</v>
      </c>
      <c r="M18" s="50">
        <f t="shared" si="10"/>
        <v>99.625</v>
      </c>
      <c r="O18" s="85">
        <v>1</v>
      </c>
      <c r="P18" s="20">
        <v>100</v>
      </c>
    </row>
    <row r="19" spans="1:16" x14ac:dyDescent="0.2">
      <c r="A19" s="86" t="s">
        <v>111</v>
      </c>
      <c r="B19" s="20">
        <v>20</v>
      </c>
      <c r="C19" s="20">
        <v>10</v>
      </c>
      <c r="D19" s="20">
        <v>10</v>
      </c>
      <c r="E19" s="20">
        <v>27</v>
      </c>
      <c r="F19" s="20">
        <f t="shared" si="1"/>
        <v>27</v>
      </c>
      <c r="G19" s="20">
        <v>3</v>
      </c>
      <c r="H19" s="20">
        <f t="shared" si="2"/>
        <v>3</v>
      </c>
      <c r="I19" s="21">
        <f t="shared" si="8"/>
        <v>100</v>
      </c>
      <c r="J19" s="21">
        <f t="shared" si="6"/>
        <v>67</v>
      </c>
      <c r="K19" s="21">
        <f t="shared" si="9"/>
        <v>33</v>
      </c>
      <c r="L19" s="21">
        <f t="shared" si="7"/>
        <v>100</v>
      </c>
      <c r="M19" s="50">
        <f t="shared" si="10"/>
        <v>100</v>
      </c>
      <c r="O19" s="85">
        <v>1</v>
      </c>
      <c r="P19" s="20">
        <v>100</v>
      </c>
    </row>
    <row r="20" spans="1:16" x14ac:dyDescent="0.2">
      <c r="A20" s="86" t="s">
        <v>126</v>
      </c>
      <c r="B20" s="20">
        <v>20</v>
      </c>
      <c r="C20" s="20">
        <v>10</v>
      </c>
      <c r="D20" s="20">
        <v>10</v>
      </c>
      <c r="E20" s="20">
        <v>27</v>
      </c>
      <c r="F20" s="20">
        <f t="shared" si="1"/>
        <v>18.09</v>
      </c>
      <c r="G20" s="20">
        <v>3</v>
      </c>
      <c r="H20" s="20">
        <f t="shared" si="2"/>
        <v>3</v>
      </c>
      <c r="I20" s="21">
        <f t="shared" si="8"/>
        <v>91.09</v>
      </c>
      <c r="J20" s="21">
        <f t="shared" si="6"/>
        <v>58.09</v>
      </c>
      <c r="K20" s="21">
        <f t="shared" si="9"/>
        <v>33</v>
      </c>
      <c r="L20" s="21">
        <f t="shared" si="7"/>
        <v>100</v>
      </c>
      <c r="M20" s="50">
        <f t="shared" si="10"/>
        <v>95.545000000000002</v>
      </c>
      <c r="O20" s="85">
        <v>3</v>
      </c>
      <c r="P20" s="20">
        <v>67</v>
      </c>
    </row>
    <row r="21" spans="1:16" x14ac:dyDescent="0.2">
      <c r="A21" s="86" t="s">
        <v>112</v>
      </c>
      <c r="B21" s="20">
        <v>20</v>
      </c>
      <c r="C21" s="20">
        <v>10</v>
      </c>
      <c r="D21" s="20">
        <v>10</v>
      </c>
      <c r="E21" s="20">
        <v>27</v>
      </c>
      <c r="F21" s="20">
        <f t="shared" si="1"/>
        <v>27</v>
      </c>
      <c r="G21" s="20">
        <v>3</v>
      </c>
      <c r="H21" s="20">
        <f t="shared" si="2"/>
        <v>3</v>
      </c>
      <c r="I21" s="21">
        <f t="shared" si="8"/>
        <v>100</v>
      </c>
      <c r="J21" s="21">
        <f t="shared" si="6"/>
        <v>67</v>
      </c>
      <c r="K21" s="21">
        <f t="shared" si="9"/>
        <v>33</v>
      </c>
      <c r="L21" s="21">
        <f t="shared" si="7"/>
        <v>100</v>
      </c>
      <c r="M21" s="50">
        <f t="shared" si="10"/>
        <v>100</v>
      </c>
      <c r="O21" s="85">
        <v>1</v>
      </c>
      <c r="P21" s="20">
        <v>100</v>
      </c>
    </row>
    <row r="22" spans="1:16" x14ac:dyDescent="0.2">
      <c r="A22" s="86" t="s">
        <v>127</v>
      </c>
      <c r="B22" s="20">
        <v>20</v>
      </c>
      <c r="C22" s="20">
        <v>10</v>
      </c>
      <c r="D22" s="20">
        <v>10</v>
      </c>
      <c r="E22" s="20">
        <v>27</v>
      </c>
      <c r="F22" s="20">
        <f t="shared" si="1"/>
        <v>25.11</v>
      </c>
      <c r="G22" s="20">
        <v>3</v>
      </c>
      <c r="H22" s="20">
        <f t="shared" si="2"/>
        <v>3</v>
      </c>
      <c r="I22" s="21">
        <f t="shared" si="8"/>
        <v>98.11</v>
      </c>
      <c r="J22" s="21">
        <f t="shared" si="6"/>
        <v>65.11</v>
      </c>
      <c r="K22" s="21">
        <f t="shared" si="9"/>
        <v>33</v>
      </c>
      <c r="L22" s="21">
        <f t="shared" si="7"/>
        <v>100</v>
      </c>
      <c r="M22" s="50">
        <f t="shared" si="10"/>
        <v>99.055000000000007</v>
      </c>
      <c r="N22" s="31"/>
      <c r="O22" s="85">
        <v>4</v>
      </c>
      <c r="P22" s="20">
        <v>93</v>
      </c>
    </row>
    <row r="23" spans="1:16" x14ac:dyDescent="0.2">
      <c r="A23" s="86" t="s">
        <v>128</v>
      </c>
      <c r="B23" s="20">
        <v>20</v>
      </c>
      <c r="C23" s="20">
        <v>10</v>
      </c>
      <c r="D23" s="20">
        <v>10</v>
      </c>
      <c r="E23" s="20">
        <v>27</v>
      </c>
      <c r="F23" s="20">
        <f t="shared" si="1"/>
        <v>25.11</v>
      </c>
      <c r="G23" s="20">
        <v>3</v>
      </c>
      <c r="H23" s="20">
        <f t="shared" si="2"/>
        <v>3</v>
      </c>
      <c r="I23" s="21">
        <f t="shared" si="8"/>
        <v>98.11</v>
      </c>
      <c r="J23" s="21">
        <f t="shared" si="6"/>
        <v>65.11</v>
      </c>
      <c r="K23" s="21">
        <f t="shared" si="9"/>
        <v>33</v>
      </c>
      <c r="L23" s="21">
        <f t="shared" si="7"/>
        <v>100</v>
      </c>
      <c r="M23" s="50">
        <f t="shared" si="10"/>
        <v>99.055000000000007</v>
      </c>
      <c r="O23" s="85">
        <v>4</v>
      </c>
      <c r="P23" s="20">
        <v>93</v>
      </c>
    </row>
    <row r="24" spans="1:16" x14ac:dyDescent="0.2">
      <c r="A24" s="86" t="s">
        <v>113</v>
      </c>
      <c r="B24" s="20">
        <v>0</v>
      </c>
      <c r="C24" s="20">
        <v>0</v>
      </c>
      <c r="D24" s="20">
        <v>0</v>
      </c>
      <c r="E24" s="20">
        <v>27</v>
      </c>
      <c r="F24" s="20">
        <f t="shared" si="1"/>
        <v>27</v>
      </c>
      <c r="G24" s="20">
        <v>3</v>
      </c>
      <c r="H24" s="20">
        <f t="shared" si="2"/>
        <v>3</v>
      </c>
      <c r="I24" s="21">
        <f t="shared" si="8"/>
        <v>60</v>
      </c>
      <c r="J24" s="21">
        <f t="shared" si="6"/>
        <v>57</v>
      </c>
      <c r="K24" s="21">
        <f t="shared" si="9"/>
        <v>3</v>
      </c>
      <c r="L24" s="21">
        <f t="shared" si="7"/>
        <v>71.666666666666671</v>
      </c>
      <c r="M24" s="50">
        <f t="shared" si="10"/>
        <v>65.833333333333343</v>
      </c>
      <c r="O24" s="85">
        <v>5</v>
      </c>
      <c r="P24" s="20">
        <v>100</v>
      </c>
    </row>
    <row r="25" spans="1:16" x14ac:dyDescent="0.2">
      <c r="A25" s="86" t="s">
        <v>114</v>
      </c>
      <c r="B25" s="20">
        <v>20</v>
      </c>
      <c r="C25" s="20">
        <v>10</v>
      </c>
      <c r="D25" s="20">
        <v>10</v>
      </c>
      <c r="E25" s="20">
        <v>27</v>
      </c>
      <c r="F25" s="20">
        <f t="shared" si="1"/>
        <v>27</v>
      </c>
      <c r="G25" s="20">
        <v>3</v>
      </c>
      <c r="H25" s="20">
        <f t="shared" si="2"/>
        <v>3</v>
      </c>
      <c r="I25" s="21">
        <f t="shared" si="8"/>
        <v>100</v>
      </c>
      <c r="J25" s="21">
        <f t="shared" si="6"/>
        <v>67</v>
      </c>
      <c r="K25" s="21">
        <f t="shared" si="9"/>
        <v>33</v>
      </c>
      <c r="L25" s="21">
        <f t="shared" si="7"/>
        <v>100</v>
      </c>
      <c r="M25" s="50">
        <f t="shared" si="10"/>
        <v>100</v>
      </c>
      <c r="O25" s="85">
        <v>2</v>
      </c>
      <c r="P25" s="20">
        <v>100</v>
      </c>
    </row>
    <row r="26" spans="1:16" x14ac:dyDescent="0.2">
      <c r="A26" s="86" t="s">
        <v>106</v>
      </c>
      <c r="B26" s="20">
        <v>20</v>
      </c>
      <c r="C26" s="20">
        <v>10</v>
      </c>
      <c r="D26" s="20">
        <v>10</v>
      </c>
      <c r="E26" s="20">
        <v>27</v>
      </c>
      <c r="F26" s="20">
        <f t="shared" si="1"/>
        <v>18.09</v>
      </c>
      <c r="G26" s="20">
        <v>3</v>
      </c>
      <c r="H26" s="20">
        <f t="shared" si="2"/>
        <v>3</v>
      </c>
      <c r="I26" s="21">
        <f t="shared" si="8"/>
        <v>91.09</v>
      </c>
      <c r="J26" s="21">
        <f t="shared" si="6"/>
        <v>58.09</v>
      </c>
      <c r="K26" s="21">
        <f t="shared" si="9"/>
        <v>33</v>
      </c>
      <c r="L26" s="21">
        <f t="shared" si="7"/>
        <v>100</v>
      </c>
      <c r="M26" s="50">
        <f t="shared" si="10"/>
        <v>95.545000000000002</v>
      </c>
      <c r="O26" s="85">
        <v>3</v>
      </c>
      <c r="P26" s="20">
        <v>67</v>
      </c>
    </row>
    <row r="27" spans="1:16" x14ac:dyDescent="0.2">
      <c r="A27" s="86" t="s">
        <v>108</v>
      </c>
      <c r="B27" s="20">
        <v>0</v>
      </c>
      <c r="C27" s="20">
        <v>0</v>
      </c>
      <c r="D27" s="20">
        <v>0</v>
      </c>
      <c r="E27" s="20">
        <v>27</v>
      </c>
      <c r="F27" s="20">
        <f t="shared" si="1"/>
        <v>27</v>
      </c>
      <c r="G27" s="20">
        <v>3</v>
      </c>
      <c r="H27" s="20">
        <f t="shared" si="2"/>
        <v>1.5</v>
      </c>
      <c r="I27" s="21">
        <f t="shared" si="8"/>
        <v>58.5</v>
      </c>
      <c r="J27" s="21">
        <f t="shared" si="6"/>
        <v>55.5</v>
      </c>
      <c r="K27" s="21">
        <f t="shared" si="9"/>
        <v>3</v>
      </c>
      <c r="L27" s="21">
        <f t="shared" si="7"/>
        <v>75</v>
      </c>
      <c r="M27" s="50">
        <f t="shared" si="10"/>
        <v>66.75</v>
      </c>
      <c r="O27" s="85">
        <v>5</v>
      </c>
      <c r="P27" s="20">
        <v>100</v>
      </c>
    </row>
    <row r="28" spans="1:16" x14ac:dyDescent="0.2">
      <c r="O28" s="85"/>
    </row>
    <row r="29" spans="1:16" x14ac:dyDescent="0.2">
      <c r="B29" s="120" t="s">
        <v>84</v>
      </c>
      <c r="C29" s="120"/>
      <c r="D29" s="120"/>
      <c r="E29" s="120"/>
      <c r="F29" s="120"/>
      <c r="O29" s="41"/>
    </row>
    <row r="30" spans="1:16" x14ac:dyDescent="0.2">
      <c r="B30" s="22" t="s">
        <v>45</v>
      </c>
      <c r="C30" s="22" t="s">
        <v>46</v>
      </c>
      <c r="D30" s="22" t="s">
        <v>78</v>
      </c>
      <c r="E30" s="23" t="s">
        <v>79</v>
      </c>
      <c r="F30" s="23" t="s">
        <v>47</v>
      </c>
    </row>
    <row r="31" spans="1:16" x14ac:dyDescent="0.2">
      <c r="A31" s="86" t="s">
        <v>115</v>
      </c>
      <c r="B31" s="20">
        <v>100</v>
      </c>
      <c r="C31" s="20">
        <v>100</v>
      </c>
      <c r="D31" s="20">
        <v>100</v>
      </c>
      <c r="E31" s="20">
        <v>100</v>
      </c>
      <c r="F31" s="25">
        <f>AVERAGE(B31:E31)</f>
        <v>100</v>
      </c>
      <c r="H31" s="85">
        <v>2</v>
      </c>
    </row>
    <row r="32" spans="1:16" x14ac:dyDescent="0.2">
      <c r="A32" s="86" t="s">
        <v>116</v>
      </c>
      <c r="B32" s="20">
        <v>100</v>
      </c>
      <c r="C32" s="20">
        <v>100</v>
      </c>
      <c r="D32" s="20">
        <f>19/20*100</f>
        <v>95</v>
      </c>
      <c r="E32" s="20">
        <v>100</v>
      </c>
      <c r="F32" s="25">
        <f t="shared" ref="F32:F34" si="11">AVERAGE(B32:E32)</f>
        <v>98.75</v>
      </c>
      <c r="H32" s="85">
        <v>3</v>
      </c>
    </row>
    <row r="33" spans="1:8" x14ac:dyDescent="0.2">
      <c r="A33" s="86" t="s">
        <v>117</v>
      </c>
      <c r="B33" s="20">
        <v>100</v>
      </c>
      <c r="C33" s="20">
        <v>100</v>
      </c>
      <c r="D33" s="20">
        <v>100</v>
      </c>
      <c r="E33" s="20">
        <v>100</v>
      </c>
      <c r="F33" s="25">
        <f t="shared" si="11"/>
        <v>100</v>
      </c>
      <c r="H33" s="85">
        <v>3</v>
      </c>
    </row>
    <row r="34" spans="1:8" x14ac:dyDescent="0.2">
      <c r="A34" s="86" t="s">
        <v>118</v>
      </c>
      <c r="B34" s="20">
        <v>100</v>
      </c>
      <c r="C34" s="20">
        <v>100</v>
      </c>
      <c r="D34" s="20">
        <v>100</v>
      </c>
      <c r="E34" s="20">
        <v>100</v>
      </c>
      <c r="F34" s="25">
        <f t="shared" si="11"/>
        <v>100</v>
      </c>
      <c r="H34" s="85">
        <v>2</v>
      </c>
    </row>
    <row r="35" spans="1:8" x14ac:dyDescent="0.2">
      <c r="A35" s="86" t="s">
        <v>119</v>
      </c>
      <c r="B35" s="20">
        <v>100</v>
      </c>
      <c r="C35" s="20">
        <v>100</v>
      </c>
      <c r="D35" s="20">
        <v>100</v>
      </c>
      <c r="E35" s="20">
        <v>100</v>
      </c>
      <c r="F35" s="25">
        <f t="shared" ref="F35:F54" si="12">AVERAGE(B35:E35)</f>
        <v>100</v>
      </c>
      <c r="H35" s="85">
        <v>2</v>
      </c>
    </row>
    <row r="36" spans="1:8" x14ac:dyDescent="0.2">
      <c r="A36" s="86" t="s">
        <v>107</v>
      </c>
      <c r="B36" s="20">
        <v>100</v>
      </c>
      <c r="C36" s="20">
        <v>100</v>
      </c>
      <c r="D36" s="20">
        <v>100</v>
      </c>
      <c r="E36" s="20">
        <v>100</v>
      </c>
      <c r="F36" s="25">
        <f t="shared" si="12"/>
        <v>100</v>
      </c>
      <c r="H36" s="85">
        <v>1</v>
      </c>
    </row>
    <row r="37" spans="1:8" x14ac:dyDescent="0.2">
      <c r="A37" s="86" t="s">
        <v>135</v>
      </c>
      <c r="B37" s="20">
        <f>13/20*100</f>
        <v>65</v>
      </c>
      <c r="C37" s="20">
        <f>13/20*100</f>
        <v>65</v>
      </c>
      <c r="D37" s="20">
        <f>13/20*100</f>
        <v>65</v>
      </c>
      <c r="E37" s="20">
        <f>13/20*100</f>
        <v>65</v>
      </c>
      <c r="F37" s="25">
        <f t="shared" si="12"/>
        <v>65</v>
      </c>
      <c r="H37" s="85">
        <v>4</v>
      </c>
    </row>
    <row r="38" spans="1:8" x14ac:dyDescent="0.2">
      <c r="A38" s="86" t="s">
        <v>120</v>
      </c>
      <c r="B38" s="20">
        <v>100</v>
      </c>
      <c r="C38" s="20">
        <v>100</v>
      </c>
      <c r="D38" s="20">
        <v>100</v>
      </c>
      <c r="E38" s="20">
        <v>100</v>
      </c>
      <c r="F38" s="25">
        <f t="shared" si="12"/>
        <v>100</v>
      </c>
      <c r="H38" s="85">
        <v>1</v>
      </c>
    </row>
    <row r="39" spans="1:8" x14ac:dyDescent="0.2">
      <c r="A39" s="86" t="s">
        <v>109</v>
      </c>
      <c r="B39" s="20">
        <v>100</v>
      </c>
      <c r="C39" s="20">
        <v>100</v>
      </c>
      <c r="D39" s="20">
        <v>100</v>
      </c>
      <c r="E39" s="20">
        <v>100</v>
      </c>
      <c r="F39" s="25">
        <f t="shared" si="12"/>
        <v>100</v>
      </c>
      <c r="H39" s="85">
        <v>4</v>
      </c>
    </row>
    <row r="40" spans="1:8" x14ac:dyDescent="0.2">
      <c r="A40" s="86" t="s">
        <v>121</v>
      </c>
      <c r="B40" s="20">
        <v>100</v>
      </c>
      <c r="C40" s="20">
        <v>100</v>
      </c>
      <c r="D40" s="20">
        <v>100</v>
      </c>
      <c r="E40" s="20">
        <v>100</v>
      </c>
      <c r="F40" s="25">
        <f t="shared" si="12"/>
        <v>100</v>
      </c>
      <c r="H40" s="85">
        <v>4</v>
      </c>
    </row>
    <row r="41" spans="1:8" x14ac:dyDescent="0.2">
      <c r="A41" s="86" t="s">
        <v>122</v>
      </c>
      <c r="B41" s="20">
        <v>100</v>
      </c>
      <c r="C41" s="20">
        <v>100</v>
      </c>
      <c r="D41" s="20">
        <f>19/20*100</f>
        <v>95</v>
      </c>
      <c r="E41" s="20">
        <f>18/20*100</f>
        <v>90</v>
      </c>
      <c r="F41" s="25">
        <f t="shared" si="12"/>
        <v>96.25</v>
      </c>
      <c r="H41" s="85">
        <v>3</v>
      </c>
    </row>
    <row r="42" spans="1:8" x14ac:dyDescent="0.2">
      <c r="A42" s="86" t="s">
        <v>123</v>
      </c>
      <c r="B42" s="20">
        <v>100</v>
      </c>
      <c r="C42" s="20">
        <v>0</v>
      </c>
      <c r="D42" s="20">
        <v>100</v>
      </c>
      <c r="E42" s="20">
        <v>100</v>
      </c>
      <c r="F42" s="25">
        <f t="shared" si="12"/>
        <v>75</v>
      </c>
      <c r="H42" s="85">
        <v>5</v>
      </c>
    </row>
    <row r="43" spans="1:8" x14ac:dyDescent="0.2">
      <c r="A43" s="86" t="s">
        <v>124</v>
      </c>
      <c r="B43" s="20">
        <v>100</v>
      </c>
      <c r="C43" s="20">
        <v>0</v>
      </c>
      <c r="D43" s="20">
        <v>100</v>
      </c>
      <c r="E43" s="20">
        <v>100</v>
      </c>
      <c r="F43" s="25">
        <f t="shared" si="12"/>
        <v>75</v>
      </c>
      <c r="H43" s="85">
        <v>5</v>
      </c>
    </row>
    <row r="44" spans="1:8" x14ac:dyDescent="0.2">
      <c r="A44" s="86" t="s">
        <v>110</v>
      </c>
      <c r="B44" s="20">
        <v>100</v>
      </c>
      <c r="C44" s="20">
        <v>100</v>
      </c>
      <c r="D44" s="20">
        <v>100</v>
      </c>
      <c r="E44" s="20">
        <v>100</v>
      </c>
      <c r="F44" s="25">
        <f t="shared" si="12"/>
        <v>100</v>
      </c>
      <c r="H44" s="85">
        <v>2</v>
      </c>
    </row>
    <row r="45" spans="1:8" x14ac:dyDescent="0.2">
      <c r="A45" s="86" t="s">
        <v>125</v>
      </c>
      <c r="B45" s="20">
        <v>100</v>
      </c>
      <c r="C45" s="20">
        <v>100</v>
      </c>
      <c r="D45" s="20">
        <v>100</v>
      </c>
      <c r="E45" s="20">
        <v>100</v>
      </c>
      <c r="F45" s="25">
        <f t="shared" si="12"/>
        <v>100</v>
      </c>
      <c r="H45" s="85">
        <v>1</v>
      </c>
    </row>
    <row r="46" spans="1:8" x14ac:dyDescent="0.2">
      <c r="A46" s="86" t="s">
        <v>111</v>
      </c>
      <c r="B46" s="20">
        <v>100</v>
      </c>
      <c r="C46" s="20">
        <v>100</v>
      </c>
      <c r="D46" s="20">
        <v>100</v>
      </c>
      <c r="E46" s="20">
        <v>100</v>
      </c>
      <c r="F46" s="25">
        <f t="shared" si="12"/>
        <v>100</v>
      </c>
      <c r="H46" s="85">
        <v>1</v>
      </c>
    </row>
    <row r="47" spans="1:8" x14ac:dyDescent="0.2">
      <c r="A47" s="86" t="s">
        <v>126</v>
      </c>
      <c r="B47" s="20">
        <v>100</v>
      </c>
      <c r="C47" s="20">
        <v>100</v>
      </c>
      <c r="D47" s="20">
        <v>100</v>
      </c>
      <c r="E47" s="20">
        <v>100</v>
      </c>
      <c r="F47" s="25">
        <f t="shared" si="12"/>
        <v>100</v>
      </c>
      <c r="H47" s="85">
        <v>3</v>
      </c>
    </row>
    <row r="48" spans="1:8" x14ac:dyDescent="0.2">
      <c r="A48" s="86" t="s">
        <v>112</v>
      </c>
      <c r="B48" s="20">
        <v>100</v>
      </c>
      <c r="C48" s="20">
        <v>100</v>
      </c>
      <c r="D48" s="20">
        <v>100</v>
      </c>
      <c r="E48" s="20">
        <v>100</v>
      </c>
      <c r="F48" s="25">
        <f t="shared" si="12"/>
        <v>100</v>
      </c>
      <c r="H48" s="85">
        <v>1</v>
      </c>
    </row>
    <row r="49" spans="1:8" x14ac:dyDescent="0.2">
      <c r="A49" s="86" t="s">
        <v>127</v>
      </c>
      <c r="B49" s="20">
        <v>100</v>
      </c>
      <c r="C49" s="20">
        <v>100</v>
      </c>
      <c r="D49" s="20">
        <v>100</v>
      </c>
      <c r="E49" s="20">
        <v>100</v>
      </c>
      <c r="F49" s="25">
        <f t="shared" si="12"/>
        <v>100</v>
      </c>
      <c r="H49" s="85">
        <v>4</v>
      </c>
    </row>
    <row r="50" spans="1:8" x14ac:dyDescent="0.2">
      <c r="A50" s="86" t="s">
        <v>128</v>
      </c>
      <c r="B50" s="20">
        <v>100</v>
      </c>
      <c r="C50" s="20">
        <v>100</v>
      </c>
      <c r="D50" s="20">
        <v>100</v>
      </c>
      <c r="E50" s="20">
        <v>100</v>
      </c>
      <c r="F50" s="25">
        <f t="shared" si="12"/>
        <v>100</v>
      </c>
      <c r="H50" s="85">
        <v>4</v>
      </c>
    </row>
    <row r="51" spans="1:8" x14ac:dyDescent="0.2">
      <c r="A51" s="86" t="s">
        <v>113</v>
      </c>
      <c r="B51" s="20">
        <v>100</v>
      </c>
      <c r="C51" s="20">
        <v>0</v>
      </c>
      <c r="D51" s="20">
        <f>26/30*100</f>
        <v>86.666666666666671</v>
      </c>
      <c r="E51" s="20">
        <v>100</v>
      </c>
      <c r="F51" s="25">
        <f t="shared" si="12"/>
        <v>71.666666666666671</v>
      </c>
      <c r="H51" s="85">
        <v>5</v>
      </c>
    </row>
    <row r="52" spans="1:8" x14ac:dyDescent="0.2">
      <c r="A52" s="86" t="s">
        <v>114</v>
      </c>
      <c r="B52" s="20">
        <v>100</v>
      </c>
      <c r="C52" s="20">
        <v>100</v>
      </c>
      <c r="D52" s="20">
        <v>100</v>
      </c>
      <c r="E52" s="20">
        <v>100</v>
      </c>
      <c r="F52" s="25">
        <f t="shared" si="12"/>
        <v>100</v>
      </c>
      <c r="H52" s="85">
        <v>2</v>
      </c>
    </row>
    <row r="53" spans="1:8" x14ac:dyDescent="0.2">
      <c r="A53" s="86" t="s">
        <v>106</v>
      </c>
      <c r="B53" s="20">
        <v>100</v>
      </c>
      <c r="C53" s="20">
        <v>100</v>
      </c>
      <c r="D53" s="20">
        <v>100</v>
      </c>
      <c r="E53" s="20">
        <v>100</v>
      </c>
      <c r="F53" s="25">
        <f t="shared" si="12"/>
        <v>100</v>
      </c>
      <c r="H53" s="85">
        <v>3</v>
      </c>
    </row>
    <row r="54" spans="1:8" x14ac:dyDescent="0.2">
      <c r="A54" s="86" t="s">
        <v>108</v>
      </c>
      <c r="B54" s="20">
        <v>100</v>
      </c>
      <c r="C54" s="20">
        <v>0</v>
      </c>
      <c r="D54" s="20">
        <v>100</v>
      </c>
      <c r="E54" s="20">
        <v>100</v>
      </c>
      <c r="F54" s="25">
        <f t="shared" si="12"/>
        <v>75</v>
      </c>
      <c r="H54" s="85">
        <v>5</v>
      </c>
    </row>
    <row r="55" spans="1:8" x14ac:dyDescent="0.2">
      <c r="A55" s="71"/>
      <c r="B55" s="70"/>
      <c r="C55" s="70"/>
      <c r="D55" s="70"/>
      <c r="E55" s="70"/>
      <c r="F55" s="70"/>
      <c r="H55" s="85"/>
    </row>
    <row r="56" spans="1:8" x14ac:dyDescent="0.2">
      <c r="B56" s="119" t="s">
        <v>134</v>
      </c>
      <c r="C56" s="119"/>
      <c r="D56" s="119"/>
      <c r="E56" s="119"/>
      <c r="F56" s="119"/>
    </row>
    <row r="57" spans="1:8" x14ac:dyDescent="0.2">
      <c r="B57" s="40">
        <v>43578</v>
      </c>
      <c r="C57" s="40">
        <v>43581</v>
      </c>
      <c r="D57" s="40">
        <v>43585</v>
      </c>
      <c r="E57" s="40">
        <v>43592</v>
      </c>
      <c r="F57" s="23" t="s">
        <v>47</v>
      </c>
    </row>
    <row r="58" spans="1:8" x14ac:dyDescent="0.2">
      <c r="A58" s="86" t="s">
        <v>115</v>
      </c>
      <c r="B58" s="20">
        <v>1</v>
      </c>
      <c r="C58" s="20">
        <v>1</v>
      </c>
      <c r="D58" s="20">
        <v>1</v>
      </c>
      <c r="E58" s="20">
        <v>1</v>
      </c>
      <c r="F58" s="25">
        <f>AVERAGE(B58:E58)*100</f>
        <v>100</v>
      </c>
      <c r="H58" s="85">
        <v>2</v>
      </c>
    </row>
    <row r="59" spans="1:8" x14ac:dyDescent="0.2">
      <c r="A59" s="86" t="s">
        <v>116</v>
      </c>
      <c r="B59" s="20">
        <v>1</v>
      </c>
      <c r="C59" s="20">
        <v>0.5</v>
      </c>
      <c r="D59" s="20">
        <v>1</v>
      </c>
      <c r="E59" s="20">
        <v>0</v>
      </c>
      <c r="F59" s="25">
        <f t="shared" ref="F59:F61" si="13">AVERAGE(B59:E59)*100</f>
        <v>62.5</v>
      </c>
      <c r="H59" s="85">
        <v>3</v>
      </c>
    </row>
    <row r="60" spans="1:8" x14ac:dyDescent="0.2">
      <c r="A60" s="86" t="s">
        <v>117</v>
      </c>
      <c r="B60" s="20">
        <v>1</v>
      </c>
      <c r="C60" s="20">
        <v>1</v>
      </c>
      <c r="D60" s="20">
        <v>1</v>
      </c>
      <c r="E60" s="20">
        <v>1</v>
      </c>
      <c r="F60" s="25">
        <f t="shared" si="13"/>
        <v>100</v>
      </c>
      <c r="H60" s="85">
        <v>3</v>
      </c>
    </row>
    <row r="61" spans="1:8" x14ac:dyDescent="0.2">
      <c r="A61" s="86" t="s">
        <v>118</v>
      </c>
      <c r="B61" s="20">
        <v>1</v>
      </c>
      <c r="C61" s="20">
        <v>1</v>
      </c>
      <c r="D61" s="20">
        <v>1</v>
      </c>
      <c r="E61" s="20">
        <v>1</v>
      </c>
      <c r="F61" s="25">
        <f t="shared" si="13"/>
        <v>100</v>
      </c>
      <c r="H61" s="85">
        <v>2</v>
      </c>
    </row>
    <row r="62" spans="1:8" x14ac:dyDescent="0.2">
      <c r="A62" s="86" t="s">
        <v>119</v>
      </c>
      <c r="B62" s="20">
        <v>1</v>
      </c>
      <c r="C62" s="20">
        <v>1</v>
      </c>
      <c r="D62" s="20">
        <v>0</v>
      </c>
      <c r="E62" s="20">
        <v>1</v>
      </c>
      <c r="F62" s="25">
        <f t="shared" ref="F62:F81" si="14">AVERAGE(B62:E62)*100</f>
        <v>75</v>
      </c>
      <c r="H62" s="85">
        <v>2</v>
      </c>
    </row>
    <row r="63" spans="1:8" x14ac:dyDescent="0.2">
      <c r="A63" s="86" t="s">
        <v>107</v>
      </c>
      <c r="B63" s="20">
        <v>1</v>
      </c>
      <c r="C63" s="20">
        <v>1</v>
      </c>
      <c r="D63" s="20">
        <v>1</v>
      </c>
      <c r="E63" s="20">
        <v>1</v>
      </c>
      <c r="F63" s="25">
        <f t="shared" si="14"/>
        <v>100</v>
      </c>
      <c r="H63" s="85">
        <v>1</v>
      </c>
    </row>
    <row r="64" spans="1:8" x14ac:dyDescent="0.2">
      <c r="A64" s="86" t="s">
        <v>135</v>
      </c>
      <c r="B64" s="20">
        <v>0</v>
      </c>
      <c r="C64" s="20">
        <v>0</v>
      </c>
      <c r="D64" s="20">
        <v>0</v>
      </c>
      <c r="E64" s="20">
        <v>1</v>
      </c>
      <c r="F64" s="25">
        <f t="shared" si="14"/>
        <v>25</v>
      </c>
      <c r="H64" s="85">
        <v>4</v>
      </c>
    </row>
    <row r="65" spans="1:8" x14ac:dyDescent="0.2">
      <c r="A65" s="86" t="s">
        <v>120</v>
      </c>
      <c r="B65" s="20">
        <v>1</v>
      </c>
      <c r="C65" s="20">
        <v>1</v>
      </c>
      <c r="D65" s="20">
        <v>1</v>
      </c>
      <c r="E65" s="20">
        <v>1</v>
      </c>
      <c r="F65" s="25">
        <f t="shared" si="14"/>
        <v>100</v>
      </c>
      <c r="H65" s="85">
        <v>1</v>
      </c>
    </row>
    <row r="66" spans="1:8" x14ac:dyDescent="0.2">
      <c r="A66" s="86" t="s">
        <v>109</v>
      </c>
      <c r="B66" s="20">
        <v>0</v>
      </c>
      <c r="C66" s="20">
        <v>1</v>
      </c>
      <c r="D66" s="20">
        <v>0</v>
      </c>
      <c r="E66" s="20">
        <v>0</v>
      </c>
      <c r="F66" s="25">
        <f t="shared" si="14"/>
        <v>25</v>
      </c>
      <c r="H66" s="85">
        <v>4</v>
      </c>
    </row>
    <row r="67" spans="1:8" x14ac:dyDescent="0.2">
      <c r="A67" s="86" t="s">
        <v>121</v>
      </c>
      <c r="B67" s="20">
        <v>1</v>
      </c>
      <c r="C67" s="20">
        <v>1</v>
      </c>
      <c r="D67" s="20">
        <v>1</v>
      </c>
      <c r="E67" s="20">
        <v>1</v>
      </c>
      <c r="F67" s="25">
        <f t="shared" si="14"/>
        <v>100</v>
      </c>
      <c r="H67" s="85">
        <v>4</v>
      </c>
    </row>
    <row r="68" spans="1:8" x14ac:dyDescent="0.2">
      <c r="A68" s="86" t="s">
        <v>122</v>
      </c>
      <c r="B68" s="20">
        <v>1</v>
      </c>
      <c r="C68" s="20">
        <v>1</v>
      </c>
      <c r="D68" s="20">
        <v>1</v>
      </c>
      <c r="E68" s="20">
        <v>1</v>
      </c>
      <c r="F68" s="25">
        <f t="shared" si="14"/>
        <v>100</v>
      </c>
      <c r="H68" s="85">
        <v>3</v>
      </c>
    </row>
    <row r="69" spans="1:8" x14ac:dyDescent="0.2">
      <c r="A69" s="86" t="s">
        <v>123</v>
      </c>
      <c r="B69" s="20">
        <v>1</v>
      </c>
      <c r="C69" s="20">
        <v>1</v>
      </c>
      <c r="D69" s="20">
        <v>1</v>
      </c>
      <c r="E69" s="20">
        <v>1</v>
      </c>
      <c r="F69" s="25">
        <f t="shared" si="14"/>
        <v>100</v>
      </c>
      <c r="H69" s="85">
        <v>5</v>
      </c>
    </row>
    <row r="70" spans="1:8" x14ac:dyDescent="0.2">
      <c r="A70" s="86" t="s">
        <v>124</v>
      </c>
      <c r="B70" s="20">
        <v>0</v>
      </c>
      <c r="C70" s="20">
        <v>1</v>
      </c>
      <c r="D70" s="20">
        <v>1</v>
      </c>
      <c r="E70" s="20">
        <v>1</v>
      </c>
      <c r="F70" s="25">
        <f t="shared" si="14"/>
        <v>75</v>
      </c>
      <c r="H70" s="85">
        <v>5</v>
      </c>
    </row>
    <row r="71" spans="1:8" x14ac:dyDescent="0.2">
      <c r="A71" s="86" t="s">
        <v>110</v>
      </c>
      <c r="B71" s="20">
        <v>1</v>
      </c>
      <c r="C71" s="20">
        <v>1</v>
      </c>
      <c r="D71" s="20">
        <v>1</v>
      </c>
      <c r="E71" s="20">
        <v>1</v>
      </c>
      <c r="F71" s="25">
        <f t="shared" si="14"/>
        <v>100</v>
      </c>
      <c r="H71" s="85">
        <v>2</v>
      </c>
    </row>
    <row r="72" spans="1:8" x14ac:dyDescent="0.2">
      <c r="A72" s="86" t="s">
        <v>125</v>
      </c>
      <c r="B72" s="20">
        <v>1</v>
      </c>
      <c r="C72" s="20">
        <v>0</v>
      </c>
      <c r="D72" s="20">
        <v>1</v>
      </c>
      <c r="E72" s="20">
        <v>1</v>
      </c>
      <c r="F72" s="25">
        <f t="shared" si="14"/>
        <v>75</v>
      </c>
      <c r="H72" s="85">
        <v>1</v>
      </c>
    </row>
    <row r="73" spans="1:8" x14ac:dyDescent="0.2">
      <c r="A73" s="86" t="s">
        <v>111</v>
      </c>
      <c r="B73" s="20">
        <v>1</v>
      </c>
      <c r="C73" s="20">
        <v>1</v>
      </c>
      <c r="D73" s="20">
        <v>1</v>
      </c>
      <c r="E73" s="20">
        <v>1</v>
      </c>
      <c r="F73" s="25">
        <f t="shared" si="14"/>
        <v>100</v>
      </c>
      <c r="H73" s="85">
        <v>1</v>
      </c>
    </row>
    <row r="74" spans="1:8" x14ac:dyDescent="0.2">
      <c r="A74" s="86" t="s">
        <v>126</v>
      </c>
      <c r="B74" s="20">
        <v>1</v>
      </c>
      <c r="C74" s="20">
        <v>1</v>
      </c>
      <c r="D74" s="20">
        <v>1</v>
      </c>
      <c r="E74" s="20">
        <v>1</v>
      </c>
      <c r="F74" s="25">
        <f t="shared" si="14"/>
        <v>100</v>
      </c>
      <c r="H74" s="85">
        <v>3</v>
      </c>
    </row>
    <row r="75" spans="1:8" x14ac:dyDescent="0.2">
      <c r="A75" s="86" t="s">
        <v>112</v>
      </c>
      <c r="B75" s="20">
        <v>1</v>
      </c>
      <c r="C75" s="20">
        <v>1</v>
      </c>
      <c r="D75" s="20">
        <v>1</v>
      </c>
      <c r="E75" s="20">
        <v>1</v>
      </c>
      <c r="F75" s="25">
        <f t="shared" si="14"/>
        <v>100</v>
      </c>
      <c r="H75" s="85">
        <v>1</v>
      </c>
    </row>
    <row r="76" spans="1:8" x14ac:dyDescent="0.2">
      <c r="A76" s="86" t="s">
        <v>127</v>
      </c>
      <c r="B76" s="20">
        <v>1</v>
      </c>
      <c r="C76" s="20">
        <v>1</v>
      </c>
      <c r="D76" s="20">
        <v>1</v>
      </c>
      <c r="E76" s="20">
        <v>1</v>
      </c>
      <c r="F76" s="25">
        <f t="shared" si="14"/>
        <v>100</v>
      </c>
      <c r="H76" s="85">
        <v>4</v>
      </c>
    </row>
    <row r="77" spans="1:8" x14ac:dyDescent="0.2">
      <c r="A77" s="86" t="s">
        <v>128</v>
      </c>
      <c r="B77" s="20">
        <v>1</v>
      </c>
      <c r="C77" s="20">
        <v>1</v>
      </c>
      <c r="D77" s="20">
        <v>1</v>
      </c>
      <c r="E77" s="20">
        <v>1</v>
      </c>
      <c r="F77" s="25">
        <f t="shared" si="14"/>
        <v>100</v>
      </c>
      <c r="H77" s="85">
        <v>4</v>
      </c>
    </row>
    <row r="78" spans="1:8" x14ac:dyDescent="0.2">
      <c r="A78" s="86" t="s">
        <v>113</v>
      </c>
      <c r="B78" s="20">
        <v>1</v>
      </c>
      <c r="C78" s="20">
        <v>1</v>
      </c>
      <c r="D78" s="20">
        <v>1</v>
      </c>
      <c r="E78" s="20">
        <v>1</v>
      </c>
      <c r="F78" s="25">
        <f t="shared" si="14"/>
        <v>100</v>
      </c>
      <c r="H78" s="85">
        <v>5</v>
      </c>
    </row>
    <row r="79" spans="1:8" x14ac:dyDescent="0.2">
      <c r="A79" s="86" t="s">
        <v>114</v>
      </c>
      <c r="B79" s="20">
        <v>1</v>
      </c>
      <c r="C79" s="20">
        <v>1</v>
      </c>
      <c r="D79" s="20">
        <v>1</v>
      </c>
      <c r="E79" s="20">
        <v>1</v>
      </c>
      <c r="F79" s="25">
        <f t="shared" si="14"/>
        <v>100</v>
      </c>
      <c r="H79" s="85">
        <v>2</v>
      </c>
    </row>
    <row r="80" spans="1:8" x14ac:dyDescent="0.2">
      <c r="A80" s="86" t="s">
        <v>106</v>
      </c>
      <c r="B80" s="20">
        <v>1</v>
      </c>
      <c r="C80" s="20">
        <v>1</v>
      </c>
      <c r="D80" s="20">
        <v>1</v>
      </c>
      <c r="E80" s="20">
        <v>1</v>
      </c>
      <c r="F80" s="25">
        <f t="shared" si="14"/>
        <v>100</v>
      </c>
      <c r="H80" s="85">
        <v>3</v>
      </c>
    </row>
    <row r="81" spans="1:8" x14ac:dyDescent="0.2">
      <c r="A81" s="86" t="s">
        <v>108</v>
      </c>
      <c r="B81" s="20">
        <v>1</v>
      </c>
      <c r="C81" s="20">
        <v>0</v>
      </c>
      <c r="D81" s="20">
        <v>1</v>
      </c>
      <c r="E81" s="20">
        <v>0</v>
      </c>
      <c r="F81" s="25">
        <f t="shared" si="14"/>
        <v>50</v>
      </c>
      <c r="H81" s="85">
        <v>5</v>
      </c>
    </row>
    <row r="82" spans="1:8" x14ac:dyDescent="0.2">
      <c r="H82" s="85"/>
    </row>
  </sheetData>
  <sheetProtection selectLockedCells="1" selectUnlockedCells="1"/>
  <mergeCells count="3">
    <mergeCell ref="A1:K1"/>
    <mergeCell ref="B56:F56"/>
    <mergeCell ref="B29:F29"/>
  </mergeCells>
  <pageMargins left="0.19652777777777777" right="0.19652777777777777" top="0.19652777777777777" bottom="0.19652777777777777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pane xSplit="1" ySplit="3" topLeftCell="B25" activePane="bottomRight" state="frozen"/>
      <selection pane="topRight" activeCell="C1" sqref="C1"/>
      <selection pane="bottomLeft" activeCell="A9" sqref="A9"/>
      <selection pane="bottomRight" activeCell="C37" sqref="C37"/>
    </sheetView>
  </sheetViews>
  <sheetFormatPr baseColWidth="10" defaultColWidth="11.42578125" defaultRowHeight="12.75" x14ac:dyDescent="0.2"/>
  <cols>
    <col min="1" max="1" width="7.7109375" style="8" customWidth="1"/>
    <col min="2" max="8" width="10.7109375" style="8" customWidth="1"/>
    <col min="9" max="11" width="15.7109375" style="8" customWidth="1"/>
    <col min="12" max="13" width="15.5703125" style="8" customWidth="1"/>
    <col min="14" max="14" width="10.5703125" style="8" customWidth="1"/>
    <col min="15" max="16384" width="11.42578125" style="8"/>
  </cols>
  <sheetData>
    <row r="1" spans="1:16" ht="15.75" x14ac:dyDescent="0.25">
      <c r="A1" s="118" t="s">
        <v>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6" x14ac:dyDescent="0.2">
      <c r="A2" s="9"/>
      <c r="B2" s="17"/>
      <c r="C2" s="18"/>
      <c r="D2" s="18"/>
      <c r="E2" s="18"/>
      <c r="F2" s="18"/>
      <c r="G2" s="18"/>
      <c r="H2" s="18"/>
      <c r="I2" s="18"/>
      <c r="J2" s="10"/>
      <c r="K2" s="10"/>
    </row>
    <row r="3" spans="1:16" x14ac:dyDescent="0.2">
      <c r="A3" s="19" t="s">
        <v>1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 t="s">
        <v>39</v>
      </c>
      <c r="J3" s="19" t="s">
        <v>41</v>
      </c>
      <c r="K3" s="19" t="s">
        <v>42</v>
      </c>
      <c r="L3" s="19" t="s">
        <v>85</v>
      </c>
      <c r="M3" s="69" t="s">
        <v>86</v>
      </c>
    </row>
    <row r="4" spans="1:16" x14ac:dyDescent="0.2">
      <c r="A4" s="86" t="s">
        <v>115</v>
      </c>
      <c r="B4" s="20">
        <v>20</v>
      </c>
      <c r="C4" s="20">
        <v>10</v>
      </c>
      <c r="D4" s="20">
        <v>10</v>
      </c>
      <c r="E4" s="20">
        <v>27</v>
      </c>
      <c r="F4" s="20">
        <f>P4*0.27</f>
        <v>27</v>
      </c>
      <c r="G4" s="20">
        <v>3</v>
      </c>
      <c r="H4" s="20">
        <f>F58*0.03</f>
        <v>3</v>
      </c>
      <c r="I4" s="21">
        <f>B4+C4+D4+E4+F4+G4+H4</f>
        <v>100</v>
      </c>
      <c r="J4" s="21">
        <f t="shared" ref="J4:J5" si="0">(C4+E4+F4+H4)</f>
        <v>67</v>
      </c>
      <c r="K4" s="21">
        <f>(B4+D4+G4)</f>
        <v>33</v>
      </c>
      <c r="L4" s="21">
        <f>F31</f>
        <v>100</v>
      </c>
      <c r="M4" s="50">
        <f>AVERAGE(L4,I4)</f>
        <v>100</v>
      </c>
      <c r="O4" s="85">
        <v>2</v>
      </c>
      <c r="P4" s="20">
        <v>100</v>
      </c>
    </row>
    <row r="5" spans="1:16" x14ac:dyDescent="0.2">
      <c r="A5" s="86" t="s">
        <v>116</v>
      </c>
      <c r="B5" s="20">
        <v>10</v>
      </c>
      <c r="C5" s="20">
        <v>10</v>
      </c>
      <c r="D5" s="20">
        <v>10</v>
      </c>
      <c r="E5" s="20">
        <f>90*27/100</f>
        <v>24.3</v>
      </c>
      <c r="F5" s="20">
        <f t="shared" ref="F5:F27" si="1">P5*0.27</f>
        <v>27</v>
      </c>
      <c r="G5" s="20">
        <v>3</v>
      </c>
      <c r="H5" s="20">
        <f t="shared" ref="H5:H27" si="2">F59*0.03</f>
        <v>3</v>
      </c>
      <c r="I5" s="21">
        <f t="shared" ref="I5:I6" si="3">B5+C5+D5+E5+F5+G5+H5</f>
        <v>87.3</v>
      </c>
      <c r="J5" s="21">
        <f t="shared" si="0"/>
        <v>64.3</v>
      </c>
      <c r="K5" s="21">
        <f t="shared" ref="K5:K6" si="4">(B5+D5+G5)</f>
        <v>23</v>
      </c>
      <c r="L5" s="21">
        <f>F32</f>
        <v>93.75</v>
      </c>
      <c r="M5" s="50">
        <f t="shared" ref="M5:M6" si="5">AVERAGE(L5,I5)</f>
        <v>90.525000000000006</v>
      </c>
      <c r="O5" s="85">
        <v>3</v>
      </c>
      <c r="P5" s="20">
        <v>100</v>
      </c>
    </row>
    <row r="6" spans="1:16" x14ac:dyDescent="0.2">
      <c r="A6" s="86" t="s">
        <v>117</v>
      </c>
      <c r="B6" s="20">
        <v>20</v>
      </c>
      <c r="C6" s="20">
        <v>10</v>
      </c>
      <c r="D6" s="20">
        <v>10</v>
      </c>
      <c r="E6" s="20">
        <f>90*27/100</f>
        <v>24.3</v>
      </c>
      <c r="F6" s="20">
        <f t="shared" si="1"/>
        <v>27</v>
      </c>
      <c r="G6" s="20">
        <v>3</v>
      </c>
      <c r="H6" s="20">
        <f t="shared" si="2"/>
        <v>3</v>
      </c>
      <c r="I6" s="21">
        <f t="shared" si="3"/>
        <v>97.3</v>
      </c>
      <c r="J6" s="21">
        <f t="shared" ref="J6:J27" si="6">(C6+E6+F6+H6)</f>
        <v>64.3</v>
      </c>
      <c r="K6" s="21">
        <f t="shared" si="4"/>
        <v>33</v>
      </c>
      <c r="L6" s="21">
        <f t="shared" ref="L6:L27" si="7">F33</f>
        <v>100</v>
      </c>
      <c r="M6" s="50">
        <f t="shared" si="5"/>
        <v>98.65</v>
      </c>
      <c r="O6" s="85">
        <v>3</v>
      </c>
      <c r="P6" s="20">
        <v>100</v>
      </c>
    </row>
    <row r="7" spans="1:16" x14ac:dyDescent="0.2">
      <c r="A7" s="86" t="s">
        <v>118</v>
      </c>
      <c r="B7" s="20">
        <v>20</v>
      </c>
      <c r="C7" s="20">
        <v>10</v>
      </c>
      <c r="D7" s="20">
        <v>10</v>
      </c>
      <c r="E7" s="20">
        <v>27</v>
      </c>
      <c r="F7" s="20">
        <f t="shared" si="1"/>
        <v>27</v>
      </c>
      <c r="G7" s="20">
        <v>3</v>
      </c>
      <c r="H7" s="20">
        <f t="shared" si="2"/>
        <v>3</v>
      </c>
      <c r="I7" s="21">
        <f t="shared" ref="I7:I27" si="8">B7+C7+D7+E7+F7+G7+H7</f>
        <v>100</v>
      </c>
      <c r="J7" s="21">
        <f t="shared" si="6"/>
        <v>67</v>
      </c>
      <c r="K7" s="21">
        <f t="shared" ref="K7:K27" si="9">(B7+D7+G7)</f>
        <v>33</v>
      </c>
      <c r="L7" s="21">
        <f t="shared" si="7"/>
        <v>100</v>
      </c>
      <c r="M7" s="50">
        <f t="shared" ref="M7:M27" si="10">AVERAGE(L7,I7)</f>
        <v>100</v>
      </c>
      <c r="N7" s="31"/>
      <c r="O7" s="85">
        <v>2</v>
      </c>
      <c r="P7" s="20">
        <v>100</v>
      </c>
    </row>
    <row r="8" spans="1:16" x14ac:dyDescent="0.2">
      <c r="A8" s="86" t="s">
        <v>119</v>
      </c>
      <c r="B8" s="20">
        <v>20</v>
      </c>
      <c r="C8" s="20">
        <v>10</v>
      </c>
      <c r="D8" s="20">
        <v>10</v>
      </c>
      <c r="E8" s="20">
        <v>27</v>
      </c>
      <c r="F8" s="20">
        <f t="shared" si="1"/>
        <v>27</v>
      </c>
      <c r="G8" s="20">
        <v>3</v>
      </c>
      <c r="H8" s="20">
        <f t="shared" si="2"/>
        <v>3</v>
      </c>
      <c r="I8" s="21">
        <f t="shared" si="8"/>
        <v>100</v>
      </c>
      <c r="J8" s="21">
        <f t="shared" si="6"/>
        <v>67</v>
      </c>
      <c r="K8" s="21">
        <f t="shared" si="9"/>
        <v>33</v>
      </c>
      <c r="L8" s="21">
        <f t="shared" si="7"/>
        <v>100</v>
      </c>
      <c r="M8" s="50">
        <f t="shared" si="10"/>
        <v>100</v>
      </c>
      <c r="N8" s="31"/>
      <c r="O8" s="85">
        <v>2</v>
      </c>
      <c r="P8" s="20">
        <v>100</v>
      </c>
    </row>
    <row r="9" spans="1:16" x14ac:dyDescent="0.2">
      <c r="A9" s="86" t="s">
        <v>107</v>
      </c>
      <c r="B9" s="20">
        <v>20</v>
      </c>
      <c r="C9" s="20">
        <v>10</v>
      </c>
      <c r="D9" s="20">
        <v>10</v>
      </c>
      <c r="E9" s="20">
        <f>90*27/100</f>
        <v>24.3</v>
      </c>
      <c r="F9" s="20">
        <f t="shared" si="1"/>
        <v>23.220000000000002</v>
      </c>
      <c r="G9" s="20">
        <v>3</v>
      </c>
      <c r="H9" s="20">
        <f t="shared" si="2"/>
        <v>3</v>
      </c>
      <c r="I9" s="21">
        <f t="shared" si="8"/>
        <v>93.52</v>
      </c>
      <c r="J9" s="21">
        <f t="shared" si="6"/>
        <v>60.519999999999996</v>
      </c>
      <c r="K9" s="21">
        <f t="shared" si="9"/>
        <v>33</v>
      </c>
      <c r="L9" s="21">
        <f t="shared" si="7"/>
        <v>100</v>
      </c>
      <c r="M9" s="50">
        <f t="shared" si="10"/>
        <v>96.759999999999991</v>
      </c>
      <c r="O9" s="85">
        <v>1</v>
      </c>
      <c r="P9" s="20">
        <v>86</v>
      </c>
    </row>
    <row r="10" spans="1:16" x14ac:dyDescent="0.2">
      <c r="A10" s="86" t="s">
        <v>135</v>
      </c>
      <c r="B10" s="20">
        <v>0</v>
      </c>
      <c r="C10" s="20">
        <v>0</v>
      </c>
      <c r="D10" s="20">
        <v>0</v>
      </c>
      <c r="E10" s="20">
        <f>70*27/100</f>
        <v>18.899999999999999</v>
      </c>
      <c r="F10" s="20">
        <f t="shared" si="1"/>
        <v>19.440000000000001</v>
      </c>
      <c r="G10" s="20">
        <v>3</v>
      </c>
      <c r="H10" s="20">
        <f t="shared" si="2"/>
        <v>0.75</v>
      </c>
      <c r="I10" s="21">
        <f t="shared" si="8"/>
        <v>42.09</v>
      </c>
      <c r="J10" s="21">
        <f t="shared" si="6"/>
        <v>39.090000000000003</v>
      </c>
      <c r="K10" s="21">
        <f t="shared" si="9"/>
        <v>3</v>
      </c>
      <c r="L10" s="21">
        <f t="shared" si="7"/>
        <v>0</v>
      </c>
      <c r="M10" s="50">
        <f t="shared" si="10"/>
        <v>21.045000000000002</v>
      </c>
      <c r="N10" s="31"/>
      <c r="O10" s="85">
        <v>4</v>
      </c>
      <c r="P10" s="20">
        <v>72</v>
      </c>
    </row>
    <row r="11" spans="1:16" x14ac:dyDescent="0.2">
      <c r="A11" s="86" t="s">
        <v>120</v>
      </c>
      <c r="B11" s="20">
        <v>20</v>
      </c>
      <c r="C11" s="20">
        <v>10</v>
      </c>
      <c r="D11" s="20">
        <v>10</v>
      </c>
      <c r="E11" s="20">
        <f>90*27/100</f>
        <v>24.3</v>
      </c>
      <c r="F11" s="20">
        <f t="shared" si="1"/>
        <v>23.220000000000002</v>
      </c>
      <c r="G11" s="20">
        <v>3</v>
      </c>
      <c r="H11" s="20">
        <f t="shared" si="2"/>
        <v>3</v>
      </c>
      <c r="I11" s="21">
        <f t="shared" si="8"/>
        <v>93.52</v>
      </c>
      <c r="J11" s="21">
        <f t="shared" si="6"/>
        <v>60.519999999999996</v>
      </c>
      <c r="K11" s="21">
        <f t="shared" si="9"/>
        <v>33</v>
      </c>
      <c r="L11" s="21">
        <f t="shared" si="7"/>
        <v>100</v>
      </c>
      <c r="M11" s="50">
        <f t="shared" si="10"/>
        <v>96.759999999999991</v>
      </c>
      <c r="O11" s="85">
        <v>1</v>
      </c>
      <c r="P11" s="20">
        <v>86</v>
      </c>
    </row>
    <row r="12" spans="1:16" x14ac:dyDescent="0.2">
      <c r="A12" s="86" t="s">
        <v>109</v>
      </c>
      <c r="B12" s="20">
        <v>20</v>
      </c>
      <c r="C12" s="20">
        <v>0</v>
      </c>
      <c r="D12" s="20">
        <v>0</v>
      </c>
      <c r="E12" s="20">
        <f>70*27/100</f>
        <v>18.899999999999999</v>
      </c>
      <c r="F12" s="20">
        <f t="shared" si="1"/>
        <v>19.440000000000001</v>
      </c>
      <c r="G12" s="20">
        <v>3</v>
      </c>
      <c r="H12" s="20">
        <f t="shared" si="2"/>
        <v>1.5</v>
      </c>
      <c r="I12" s="21">
        <f t="shared" si="8"/>
        <v>62.84</v>
      </c>
      <c r="J12" s="21">
        <f t="shared" si="6"/>
        <v>39.840000000000003</v>
      </c>
      <c r="K12" s="21">
        <f t="shared" si="9"/>
        <v>23</v>
      </c>
      <c r="L12" s="21">
        <f t="shared" si="7"/>
        <v>0</v>
      </c>
      <c r="M12" s="50">
        <f t="shared" si="10"/>
        <v>31.42</v>
      </c>
      <c r="O12" s="85">
        <v>4</v>
      </c>
      <c r="P12" s="20">
        <v>72</v>
      </c>
    </row>
    <row r="13" spans="1:16" x14ac:dyDescent="0.2">
      <c r="A13" s="86" t="s">
        <v>121</v>
      </c>
      <c r="B13" s="20">
        <v>20</v>
      </c>
      <c r="C13" s="20">
        <v>10</v>
      </c>
      <c r="D13" s="20">
        <v>10</v>
      </c>
      <c r="E13" s="20">
        <f>70*27/100</f>
        <v>18.899999999999999</v>
      </c>
      <c r="F13" s="20">
        <f t="shared" si="1"/>
        <v>19.440000000000001</v>
      </c>
      <c r="G13" s="20">
        <v>3</v>
      </c>
      <c r="H13" s="20">
        <f t="shared" si="2"/>
        <v>3</v>
      </c>
      <c r="I13" s="21">
        <f t="shared" si="8"/>
        <v>84.34</v>
      </c>
      <c r="J13" s="21">
        <f t="shared" si="6"/>
        <v>51.34</v>
      </c>
      <c r="K13" s="21">
        <f t="shared" si="9"/>
        <v>33</v>
      </c>
      <c r="L13" s="21">
        <f t="shared" si="7"/>
        <v>0</v>
      </c>
      <c r="M13" s="50">
        <f t="shared" si="10"/>
        <v>42.17</v>
      </c>
      <c r="O13" s="85">
        <v>4</v>
      </c>
      <c r="P13" s="20">
        <v>72</v>
      </c>
    </row>
    <row r="14" spans="1:16" x14ac:dyDescent="0.2">
      <c r="A14" s="86" t="s">
        <v>122</v>
      </c>
      <c r="B14" s="20">
        <v>20</v>
      </c>
      <c r="C14" s="20">
        <v>10</v>
      </c>
      <c r="D14" s="20">
        <v>10</v>
      </c>
      <c r="E14" s="20">
        <f>90*27/100</f>
        <v>24.3</v>
      </c>
      <c r="F14" s="20">
        <f t="shared" si="1"/>
        <v>27</v>
      </c>
      <c r="G14" s="20">
        <v>3</v>
      </c>
      <c r="H14" s="20">
        <f t="shared" si="2"/>
        <v>3</v>
      </c>
      <c r="I14" s="21">
        <f t="shared" si="8"/>
        <v>97.3</v>
      </c>
      <c r="J14" s="21">
        <f t="shared" si="6"/>
        <v>64.3</v>
      </c>
      <c r="K14" s="21">
        <f t="shared" si="9"/>
        <v>33</v>
      </c>
      <c r="L14" s="21">
        <f t="shared" si="7"/>
        <v>100</v>
      </c>
      <c r="M14" s="50">
        <f t="shared" si="10"/>
        <v>98.65</v>
      </c>
      <c r="O14" s="85">
        <v>3</v>
      </c>
      <c r="P14" s="20">
        <v>100</v>
      </c>
    </row>
    <row r="15" spans="1:16" x14ac:dyDescent="0.2">
      <c r="A15" s="86" t="s">
        <v>123</v>
      </c>
      <c r="B15" s="20">
        <v>18</v>
      </c>
      <c r="C15" s="20">
        <v>10</v>
      </c>
      <c r="D15" s="20">
        <v>10</v>
      </c>
      <c r="E15" s="20">
        <f>70*27/100</f>
        <v>18.899999999999999</v>
      </c>
      <c r="F15" s="20">
        <f t="shared" si="1"/>
        <v>12.420000000000002</v>
      </c>
      <c r="G15" s="20">
        <v>3</v>
      </c>
      <c r="H15" s="20">
        <f t="shared" si="2"/>
        <v>3</v>
      </c>
      <c r="I15" s="21">
        <f t="shared" si="8"/>
        <v>75.319999999999993</v>
      </c>
      <c r="J15" s="21">
        <f t="shared" si="6"/>
        <v>44.32</v>
      </c>
      <c r="K15" s="21">
        <f t="shared" si="9"/>
        <v>31</v>
      </c>
      <c r="L15" s="21">
        <f t="shared" si="7"/>
        <v>100</v>
      </c>
      <c r="M15" s="50">
        <f t="shared" si="10"/>
        <v>87.66</v>
      </c>
      <c r="O15" s="85">
        <v>5</v>
      </c>
      <c r="P15" s="20">
        <v>46</v>
      </c>
    </row>
    <row r="16" spans="1:16" x14ac:dyDescent="0.2">
      <c r="A16" s="86" t="s">
        <v>124</v>
      </c>
      <c r="B16" s="20">
        <v>10</v>
      </c>
      <c r="C16" s="20">
        <v>5</v>
      </c>
      <c r="D16" s="20">
        <v>5</v>
      </c>
      <c r="E16" s="20">
        <f>70*27/100</f>
        <v>18.899999999999999</v>
      </c>
      <c r="F16" s="20">
        <f t="shared" si="1"/>
        <v>12.420000000000002</v>
      </c>
      <c r="G16" s="20">
        <v>3</v>
      </c>
      <c r="H16" s="20">
        <f t="shared" si="2"/>
        <v>1.5</v>
      </c>
      <c r="I16" s="21">
        <f t="shared" si="8"/>
        <v>55.82</v>
      </c>
      <c r="J16" s="21">
        <f t="shared" si="6"/>
        <v>37.82</v>
      </c>
      <c r="K16" s="21">
        <f t="shared" si="9"/>
        <v>18</v>
      </c>
      <c r="L16" s="21">
        <f t="shared" si="7"/>
        <v>100</v>
      </c>
      <c r="M16" s="50">
        <f t="shared" si="10"/>
        <v>77.91</v>
      </c>
      <c r="O16" s="85">
        <v>5</v>
      </c>
      <c r="P16" s="20">
        <v>46</v>
      </c>
    </row>
    <row r="17" spans="1:16" x14ac:dyDescent="0.2">
      <c r="A17" s="86" t="s">
        <v>110</v>
      </c>
      <c r="B17" s="20">
        <v>20</v>
      </c>
      <c r="C17" s="20">
        <v>10</v>
      </c>
      <c r="D17" s="20">
        <v>10</v>
      </c>
      <c r="E17" s="20">
        <v>27</v>
      </c>
      <c r="F17" s="20">
        <f t="shared" si="1"/>
        <v>27</v>
      </c>
      <c r="G17" s="20">
        <v>3</v>
      </c>
      <c r="H17" s="20">
        <f t="shared" si="2"/>
        <v>3</v>
      </c>
      <c r="I17" s="21">
        <f t="shared" si="8"/>
        <v>100</v>
      </c>
      <c r="J17" s="21">
        <f t="shared" si="6"/>
        <v>67</v>
      </c>
      <c r="K17" s="21">
        <f t="shared" si="9"/>
        <v>33</v>
      </c>
      <c r="L17" s="21">
        <f t="shared" si="7"/>
        <v>100</v>
      </c>
      <c r="M17" s="50">
        <f t="shared" si="10"/>
        <v>100</v>
      </c>
      <c r="N17" s="31"/>
      <c r="O17" s="85">
        <v>2</v>
      </c>
      <c r="P17" s="20">
        <v>100</v>
      </c>
    </row>
    <row r="18" spans="1:16" x14ac:dyDescent="0.2">
      <c r="A18" s="86" t="s">
        <v>125</v>
      </c>
      <c r="B18" s="20">
        <v>20</v>
      </c>
      <c r="C18" s="20">
        <v>10</v>
      </c>
      <c r="D18" s="20">
        <v>10</v>
      </c>
      <c r="E18" s="20">
        <f>90*27/100</f>
        <v>24.3</v>
      </c>
      <c r="F18" s="20">
        <f t="shared" si="1"/>
        <v>23.220000000000002</v>
      </c>
      <c r="G18" s="20">
        <v>3</v>
      </c>
      <c r="H18" s="20">
        <f t="shared" si="2"/>
        <v>3</v>
      </c>
      <c r="I18" s="21">
        <f t="shared" si="8"/>
        <v>93.52</v>
      </c>
      <c r="J18" s="21">
        <f t="shared" si="6"/>
        <v>60.519999999999996</v>
      </c>
      <c r="K18" s="21">
        <f t="shared" si="9"/>
        <v>33</v>
      </c>
      <c r="L18" s="21">
        <f t="shared" si="7"/>
        <v>100</v>
      </c>
      <c r="M18" s="50">
        <f t="shared" si="10"/>
        <v>96.759999999999991</v>
      </c>
      <c r="O18" s="85">
        <v>1</v>
      </c>
      <c r="P18" s="20">
        <v>86</v>
      </c>
    </row>
    <row r="19" spans="1:16" x14ac:dyDescent="0.2">
      <c r="A19" s="86" t="s">
        <v>111</v>
      </c>
      <c r="B19" s="20">
        <v>20</v>
      </c>
      <c r="C19" s="20">
        <v>10</v>
      </c>
      <c r="D19" s="20">
        <v>10</v>
      </c>
      <c r="E19" s="20">
        <f>90*27/100</f>
        <v>24.3</v>
      </c>
      <c r="F19" s="20">
        <f t="shared" si="1"/>
        <v>23.220000000000002</v>
      </c>
      <c r="G19" s="20">
        <v>3</v>
      </c>
      <c r="H19" s="20">
        <f t="shared" si="2"/>
        <v>3</v>
      </c>
      <c r="I19" s="21">
        <f t="shared" si="8"/>
        <v>93.52</v>
      </c>
      <c r="J19" s="21">
        <f t="shared" si="6"/>
        <v>60.519999999999996</v>
      </c>
      <c r="K19" s="21">
        <f t="shared" si="9"/>
        <v>33</v>
      </c>
      <c r="L19" s="21">
        <f t="shared" si="7"/>
        <v>100</v>
      </c>
      <c r="M19" s="50">
        <f t="shared" si="10"/>
        <v>96.759999999999991</v>
      </c>
      <c r="O19" s="85">
        <v>1</v>
      </c>
      <c r="P19" s="20">
        <v>86</v>
      </c>
    </row>
    <row r="20" spans="1:16" x14ac:dyDescent="0.2">
      <c r="A20" s="86" t="s">
        <v>126</v>
      </c>
      <c r="B20" s="20">
        <v>20</v>
      </c>
      <c r="C20" s="20">
        <v>10</v>
      </c>
      <c r="D20" s="20">
        <v>10</v>
      </c>
      <c r="E20" s="20">
        <f>90*27/100</f>
        <v>24.3</v>
      </c>
      <c r="F20" s="20">
        <f t="shared" si="1"/>
        <v>27</v>
      </c>
      <c r="G20" s="20">
        <v>3</v>
      </c>
      <c r="H20" s="20">
        <f t="shared" si="2"/>
        <v>3</v>
      </c>
      <c r="I20" s="21">
        <f t="shared" si="8"/>
        <v>97.3</v>
      </c>
      <c r="J20" s="21">
        <f t="shared" si="6"/>
        <v>64.3</v>
      </c>
      <c r="K20" s="21">
        <f t="shared" si="9"/>
        <v>33</v>
      </c>
      <c r="L20" s="21">
        <f t="shared" si="7"/>
        <v>100</v>
      </c>
      <c r="M20" s="50">
        <f t="shared" si="10"/>
        <v>98.65</v>
      </c>
      <c r="O20" s="85">
        <v>3</v>
      </c>
      <c r="P20" s="20">
        <v>100</v>
      </c>
    </row>
    <row r="21" spans="1:16" x14ac:dyDescent="0.2">
      <c r="A21" s="86" t="s">
        <v>112</v>
      </c>
      <c r="B21" s="20">
        <v>20</v>
      </c>
      <c r="C21" s="20">
        <v>10</v>
      </c>
      <c r="D21" s="20">
        <v>10</v>
      </c>
      <c r="E21" s="20">
        <f>90*27/100</f>
        <v>24.3</v>
      </c>
      <c r="F21" s="20">
        <f t="shared" si="1"/>
        <v>23.220000000000002</v>
      </c>
      <c r="G21" s="20">
        <v>3</v>
      </c>
      <c r="H21" s="20">
        <f t="shared" si="2"/>
        <v>3</v>
      </c>
      <c r="I21" s="21">
        <f t="shared" si="8"/>
        <v>93.52</v>
      </c>
      <c r="J21" s="21">
        <f t="shared" si="6"/>
        <v>60.519999999999996</v>
      </c>
      <c r="K21" s="21">
        <f t="shared" si="9"/>
        <v>33</v>
      </c>
      <c r="L21" s="21">
        <f t="shared" si="7"/>
        <v>100</v>
      </c>
      <c r="M21" s="50">
        <f t="shared" si="10"/>
        <v>96.759999999999991</v>
      </c>
      <c r="O21" s="85">
        <v>1</v>
      </c>
      <c r="P21" s="20">
        <v>86</v>
      </c>
    </row>
    <row r="22" spans="1:16" x14ac:dyDescent="0.2">
      <c r="A22" s="86" t="s">
        <v>127</v>
      </c>
      <c r="B22" s="20">
        <v>20</v>
      </c>
      <c r="C22" s="20">
        <v>10</v>
      </c>
      <c r="D22" s="20">
        <v>10</v>
      </c>
      <c r="E22" s="20">
        <f>70*27/100</f>
        <v>18.899999999999999</v>
      </c>
      <c r="F22" s="20">
        <f t="shared" si="1"/>
        <v>19.440000000000001</v>
      </c>
      <c r="G22" s="20">
        <v>3</v>
      </c>
      <c r="H22" s="20">
        <f t="shared" si="2"/>
        <v>3</v>
      </c>
      <c r="I22" s="21">
        <f t="shared" si="8"/>
        <v>84.34</v>
      </c>
      <c r="J22" s="21">
        <f t="shared" si="6"/>
        <v>51.34</v>
      </c>
      <c r="K22" s="21">
        <f t="shared" si="9"/>
        <v>33</v>
      </c>
      <c r="L22" s="21">
        <f t="shared" si="7"/>
        <v>0</v>
      </c>
      <c r="M22" s="50">
        <f t="shared" si="10"/>
        <v>42.17</v>
      </c>
      <c r="N22" s="31"/>
      <c r="O22" s="85">
        <v>4</v>
      </c>
      <c r="P22" s="20">
        <v>72</v>
      </c>
    </row>
    <row r="23" spans="1:16" x14ac:dyDescent="0.2">
      <c r="A23" s="86" t="s">
        <v>128</v>
      </c>
      <c r="B23" s="20">
        <v>20</v>
      </c>
      <c r="C23" s="20">
        <v>10</v>
      </c>
      <c r="D23" s="20">
        <v>10</v>
      </c>
      <c r="E23" s="20">
        <f>70*27/100</f>
        <v>18.899999999999999</v>
      </c>
      <c r="F23" s="20">
        <f t="shared" si="1"/>
        <v>19.440000000000001</v>
      </c>
      <c r="G23" s="20">
        <v>3</v>
      </c>
      <c r="H23" s="20">
        <f t="shared" si="2"/>
        <v>3</v>
      </c>
      <c r="I23" s="21">
        <f t="shared" si="8"/>
        <v>84.34</v>
      </c>
      <c r="J23" s="21">
        <f t="shared" si="6"/>
        <v>51.34</v>
      </c>
      <c r="K23" s="21">
        <f t="shared" si="9"/>
        <v>33</v>
      </c>
      <c r="L23" s="21">
        <f t="shared" si="7"/>
        <v>0</v>
      </c>
      <c r="M23" s="50">
        <f t="shared" si="10"/>
        <v>42.17</v>
      </c>
      <c r="O23" s="85">
        <v>4</v>
      </c>
      <c r="P23" s="20">
        <v>72</v>
      </c>
    </row>
    <row r="24" spans="1:16" x14ac:dyDescent="0.2">
      <c r="A24" s="86" t="s">
        <v>113</v>
      </c>
      <c r="B24" s="20">
        <v>10</v>
      </c>
      <c r="C24" s="20">
        <v>5</v>
      </c>
      <c r="D24" s="20">
        <v>5</v>
      </c>
      <c r="E24" s="20">
        <f>70*27/100</f>
        <v>18.899999999999999</v>
      </c>
      <c r="F24" s="20">
        <f t="shared" si="1"/>
        <v>12.420000000000002</v>
      </c>
      <c r="G24" s="20">
        <v>3</v>
      </c>
      <c r="H24" s="20">
        <f t="shared" si="2"/>
        <v>1.5</v>
      </c>
      <c r="I24" s="21">
        <f t="shared" si="8"/>
        <v>55.82</v>
      </c>
      <c r="J24" s="21">
        <f t="shared" si="6"/>
        <v>37.82</v>
      </c>
      <c r="K24" s="21">
        <f t="shared" si="9"/>
        <v>18</v>
      </c>
      <c r="L24" s="21">
        <f t="shared" si="7"/>
        <v>100</v>
      </c>
      <c r="M24" s="50">
        <f t="shared" si="10"/>
        <v>77.91</v>
      </c>
      <c r="O24" s="85">
        <v>5</v>
      </c>
      <c r="P24" s="20">
        <v>46</v>
      </c>
    </row>
    <row r="25" spans="1:16" x14ac:dyDescent="0.2">
      <c r="A25" s="86" t="s">
        <v>114</v>
      </c>
      <c r="B25" s="20">
        <v>20</v>
      </c>
      <c r="C25" s="20">
        <v>10</v>
      </c>
      <c r="D25" s="20">
        <v>10</v>
      </c>
      <c r="E25" s="20">
        <v>27</v>
      </c>
      <c r="F25" s="20">
        <f t="shared" si="1"/>
        <v>27</v>
      </c>
      <c r="G25" s="20">
        <v>3</v>
      </c>
      <c r="H25" s="20">
        <f t="shared" si="2"/>
        <v>3</v>
      </c>
      <c r="I25" s="21">
        <f t="shared" si="8"/>
        <v>100</v>
      </c>
      <c r="J25" s="21">
        <f t="shared" si="6"/>
        <v>67</v>
      </c>
      <c r="K25" s="21">
        <f t="shared" si="9"/>
        <v>33</v>
      </c>
      <c r="L25" s="21">
        <f t="shared" si="7"/>
        <v>100</v>
      </c>
      <c r="M25" s="50">
        <f t="shared" si="10"/>
        <v>100</v>
      </c>
      <c r="O25" s="85">
        <v>2</v>
      </c>
      <c r="P25" s="20">
        <v>100</v>
      </c>
    </row>
    <row r="26" spans="1:16" x14ac:dyDescent="0.2">
      <c r="A26" s="86" t="s">
        <v>106</v>
      </c>
      <c r="B26" s="20">
        <v>20</v>
      </c>
      <c r="C26" s="20">
        <v>10</v>
      </c>
      <c r="D26" s="20">
        <v>10</v>
      </c>
      <c r="E26" s="20">
        <f>90*27/100</f>
        <v>24.3</v>
      </c>
      <c r="F26" s="20">
        <f t="shared" si="1"/>
        <v>27</v>
      </c>
      <c r="G26" s="20">
        <v>3</v>
      </c>
      <c r="H26" s="20">
        <f t="shared" si="2"/>
        <v>3</v>
      </c>
      <c r="I26" s="21">
        <f t="shared" si="8"/>
        <v>97.3</v>
      </c>
      <c r="J26" s="21">
        <f t="shared" si="6"/>
        <v>64.3</v>
      </c>
      <c r="K26" s="21">
        <f t="shared" si="9"/>
        <v>33</v>
      </c>
      <c r="L26" s="21">
        <f t="shared" si="7"/>
        <v>100</v>
      </c>
      <c r="M26" s="50">
        <f t="shared" si="10"/>
        <v>98.65</v>
      </c>
      <c r="O26" s="85">
        <v>3</v>
      </c>
      <c r="P26" s="20">
        <v>100</v>
      </c>
    </row>
    <row r="27" spans="1:16" x14ac:dyDescent="0.2">
      <c r="A27" s="86" t="s">
        <v>108</v>
      </c>
      <c r="B27" s="20">
        <v>10</v>
      </c>
      <c r="C27" s="20">
        <v>5</v>
      </c>
      <c r="D27" s="20">
        <v>5</v>
      </c>
      <c r="E27" s="20">
        <f>70*27/100</f>
        <v>18.899999999999999</v>
      </c>
      <c r="F27" s="20">
        <f t="shared" si="1"/>
        <v>12.420000000000002</v>
      </c>
      <c r="G27" s="20">
        <v>3</v>
      </c>
      <c r="H27" s="20">
        <f t="shared" si="2"/>
        <v>2.25</v>
      </c>
      <c r="I27" s="21">
        <f t="shared" si="8"/>
        <v>56.57</v>
      </c>
      <c r="J27" s="21">
        <f t="shared" si="6"/>
        <v>38.57</v>
      </c>
      <c r="K27" s="21">
        <f t="shared" si="9"/>
        <v>18</v>
      </c>
      <c r="L27" s="21">
        <f t="shared" si="7"/>
        <v>100</v>
      </c>
      <c r="M27" s="50">
        <f t="shared" si="10"/>
        <v>78.284999999999997</v>
      </c>
      <c r="O27" s="85">
        <v>5</v>
      </c>
      <c r="P27" s="20">
        <v>46</v>
      </c>
    </row>
    <row r="28" spans="1:16" x14ac:dyDescent="0.2">
      <c r="O28" s="85"/>
    </row>
    <row r="29" spans="1:16" x14ac:dyDescent="0.2">
      <c r="B29" s="120" t="s">
        <v>84</v>
      </c>
      <c r="C29" s="120"/>
      <c r="D29" s="120"/>
      <c r="E29" s="120"/>
      <c r="F29" s="120"/>
      <c r="O29" s="41"/>
    </row>
    <row r="30" spans="1:16" x14ac:dyDescent="0.2">
      <c r="B30" s="22" t="s">
        <v>45</v>
      </c>
      <c r="C30" s="22" t="s">
        <v>46</v>
      </c>
      <c r="D30" s="22" t="s">
        <v>78</v>
      </c>
      <c r="E30" s="23" t="s">
        <v>79</v>
      </c>
      <c r="F30" s="23" t="s">
        <v>47</v>
      </c>
    </row>
    <row r="31" spans="1:16" x14ac:dyDescent="0.2">
      <c r="A31" s="86" t="s">
        <v>115</v>
      </c>
      <c r="B31" s="20">
        <v>100</v>
      </c>
      <c r="C31" s="20">
        <v>100</v>
      </c>
      <c r="D31" s="20">
        <v>100</v>
      </c>
      <c r="E31" s="20">
        <v>100</v>
      </c>
      <c r="F31" s="25">
        <f>AVERAGE(B31:E31)</f>
        <v>100</v>
      </c>
      <c r="H31" s="85">
        <v>2</v>
      </c>
    </row>
    <row r="32" spans="1:16" x14ac:dyDescent="0.2">
      <c r="A32" s="86" t="s">
        <v>116</v>
      </c>
      <c r="B32" s="20">
        <v>100</v>
      </c>
      <c r="C32" s="20">
        <v>100</v>
      </c>
      <c r="D32" s="20">
        <f>17/20*100</f>
        <v>85</v>
      </c>
      <c r="E32" s="20">
        <f>18/20*100</f>
        <v>90</v>
      </c>
      <c r="F32" s="25">
        <f t="shared" ref="F32:F53" si="11">AVERAGE(B32:E32)</f>
        <v>93.75</v>
      </c>
      <c r="H32" s="85">
        <v>3</v>
      </c>
    </row>
    <row r="33" spans="1:8" x14ac:dyDescent="0.2">
      <c r="A33" s="86" t="s">
        <v>117</v>
      </c>
      <c r="B33" s="20">
        <v>100</v>
      </c>
      <c r="C33" s="20">
        <v>100</v>
      </c>
      <c r="D33" s="20">
        <v>100</v>
      </c>
      <c r="E33" s="20">
        <v>100</v>
      </c>
      <c r="F33" s="25">
        <f t="shared" si="11"/>
        <v>100</v>
      </c>
      <c r="H33" s="85">
        <v>3</v>
      </c>
    </row>
    <row r="34" spans="1:8" x14ac:dyDescent="0.2">
      <c r="A34" s="86" t="s">
        <v>118</v>
      </c>
      <c r="B34" s="20">
        <v>100</v>
      </c>
      <c r="C34" s="20">
        <v>100</v>
      </c>
      <c r="D34" s="20">
        <v>100</v>
      </c>
      <c r="E34" s="20">
        <v>100</v>
      </c>
      <c r="F34" s="25">
        <f t="shared" si="11"/>
        <v>100</v>
      </c>
      <c r="H34" s="85">
        <v>2</v>
      </c>
    </row>
    <row r="35" spans="1:8" x14ac:dyDescent="0.2">
      <c r="A35" s="86" t="s">
        <v>119</v>
      </c>
      <c r="B35" s="20">
        <v>100</v>
      </c>
      <c r="C35" s="20">
        <v>100</v>
      </c>
      <c r="D35" s="20">
        <v>100</v>
      </c>
      <c r="E35" s="20">
        <v>100</v>
      </c>
      <c r="F35" s="25">
        <f t="shared" si="11"/>
        <v>100</v>
      </c>
      <c r="H35" s="85">
        <v>2</v>
      </c>
    </row>
    <row r="36" spans="1:8" x14ac:dyDescent="0.2">
      <c r="A36" s="86" t="s">
        <v>107</v>
      </c>
      <c r="B36" s="20">
        <v>100</v>
      </c>
      <c r="C36" s="20">
        <v>100</v>
      </c>
      <c r="D36" s="20">
        <v>100</v>
      </c>
      <c r="E36" s="20">
        <v>100</v>
      </c>
      <c r="F36" s="25">
        <f t="shared" si="11"/>
        <v>100</v>
      </c>
      <c r="H36" s="85">
        <v>1</v>
      </c>
    </row>
    <row r="37" spans="1:8" x14ac:dyDescent="0.2">
      <c r="A37" s="86" t="s">
        <v>135</v>
      </c>
      <c r="B37" s="20">
        <v>0</v>
      </c>
      <c r="C37" s="20">
        <v>0</v>
      </c>
      <c r="D37" s="20">
        <v>0</v>
      </c>
      <c r="E37" s="20">
        <v>0</v>
      </c>
      <c r="F37" s="25">
        <f t="shared" si="11"/>
        <v>0</v>
      </c>
      <c r="H37" s="85">
        <v>4</v>
      </c>
    </row>
    <row r="38" spans="1:8" x14ac:dyDescent="0.2">
      <c r="A38" s="86" t="s">
        <v>120</v>
      </c>
      <c r="B38" s="20">
        <v>100</v>
      </c>
      <c r="C38" s="20">
        <v>100</v>
      </c>
      <c r="D38" s="20">
        <v>100</v>
      </c>
      <c r="E38" s="20">
        <v>100</v>
      </c>
      <c r="F38" s="25">
        <f t="shared" si="11"/>
        <v>100</v>
      </c>
      <c r="H38" s="85">
        <v>1</v>
      </c>
    </row>
    <row r="39" spans="1:8" x14ac:dyDescent="0.2">
      <c r="A39" s="86" t="s">
        <v>109</v>
      </c>
      <c r="B39" s="20">
        <v>0</v>
      </c>
      <c r="C39" s="20">
        <v>0</v>
      </c>
      <c r="D39" s="20">
        <v>0</v>
      </c>
      <c r="E39" s="20">
        <v>0</v>
      </c>
      <c r="F39" s="25">
        <f t="shared" si="11"/>
        <v>0</v>
      </c>
      <c r="H39" s="85">
        <v>4</v>
      </c>
    </row>
    <row r="40" spans="1:8" x14ac:dyDescent="0.2">
      <c r="A40" s="86" t="s">
        <v>121</v>
      </c>
      <c r="B40" s="20">
        <v>0</v>
      </c>
      <c r="C40" s="20">
        <v>0</v>
      </c>
      <c r="D40" s="20">
        <v>0</v>
      </c>
      <c r="E40" s="20">
        <v>0</v>
      </c>
      <c r="F40" s="25">
        <f t="shared" si="11"/>
        <v>0</v>
      </c>
      <c r="H40" s="85">
        <v>4</v>
      </c>
    </row>
    <row r="41" spans="1:8" x14ac:dyDescent="0.2">
      <c r="A41" s="86" t="s">
        <v>122</v>
      </c>
      <c r="B41" s="20">
        <v>100</v>
      </c>
      <c r="C41" s="20">
        <v>100</v>
      </c>
      <c r="D41" s="20">
        <v>100</v>
      </c>
      <c r="E41" s="20">
        <v>100</v>
      </c>
      <c r="F41" s="25">
        <f t="shared" si="11"/>
        <v>100</v>
      </c>
      <c r="H41" s="85">
        <v>3</v>
      </c>
    </row>
    <row r="42" spans="1:8" x14ac:dyDescent="0.2">
      <c r="A42" s="86" t="s">
        <v>123</v>
      </c>
      <c r="B42" s="20">
        <v>100</v>
      </c>
      <c r="C42" s="20">
        <v>100</v>
      </c>
      <c r="D42" s="20">
        <v>100</v>
      </c>
      <c r="E42" s="20">
        <v>100</v>
      </c>
      <c r="F42" s="25">
        <f t="shared" si="11"/>
        <v>100</v>
      </c>
      <c r="H42" s="85">
        <v>5</v>
      </c>
    </row>
    <row r="43" spans="1:8" x14ac:dyDescent="0.2">
      <c r="A43" s="86" t="s">
        <v>124</v>
      </c>
      <c r="B43" s="20">
        <v>100</v>
      </c>
      <c r="C43" s="20">
        <v>100</v>
      </c>
      <c r="D43" s="20">
        <v>100</v>
      </c>
      <c r="E43" s="20">
        <v>100</v>
      </c>
      <c r="F43" s="25">
        <f t="shared" si="11"/>
        <v>100</v>
      </c>
      <c r="H43" s="85">
        <v>5</v>
      </c>
    </row>
    <row r="44" spans="1:8" x14ac:dyDescent="0.2">
      <c r="A44" s="86" t="s">
        <v>110</v>
      </c>
      <c r="B44" s="20">
        <v>100</v>
      </c>
      <c r="C44" s="20">
        <v>100</v>
      </c>
      <c r="D44" s="20">
        <v>100</v>
      </c>
      <c r="E44" s="20">
        <v>100</v>
      </c>
      <c r="F44" s="25">
        <f t="shared" si="11"/>
        <v>100</v>
      </c>
      <c r="H44" s="85">
        <v>2</v>
      </c>
    </row>
    <row r="45" spans="1:8" x14ac:dyDescent="0.2">
      <c r="A45" s="86" t="s">
        <v>125</v>
      </c>
      <c r="B45" s="20">
        <v>100</v>
      </c>
      <c r="C45" s="20">
        <v>100</v>
      </c>
      <c r="D45" s="20">
        <v>100</v>
      </c>
      <c r="E45" s="20">
        <v>100</v>
      </c>
      <c r="F45" s="25">
        <f t="shared" si="11"/>
        <v>100</v>
      </c>
      <c r="H45" s="85">
        <v>1</v>
      </c>
    </row>
    <row r="46" spans="1:8" x14ac:dyDescent="0.2">
      <c r="A46" s="86" t="s">
        <v>111</v>
      </c>
      <c r="B46" s="20">
        <v>100</v>
      </c>
      <c r="C46" s="20">
        <v>100</v>
      </c>
      <c r="D46" s="20">
        <v>100</v>
      </c>
      <c r="E46" s="20">
        <v>100</v>
      </c>
      <c r="F46" s="25">
        <f t="shared" si="11"/>
        <v>100</v>
      </c>
      <c r="H46" s="85">
        <v>1</v>
      </c>
    </row>
    <row r="47" spans="1:8" x14ac:dyDescent="0.2">
      <c r="A47" s="86" t="s">
        <v>126</v>
      </c>
      <c r="B47" s="20">
        <v>100</v>
      </c>
      <c r="C47" s="20">
        <v>100</v>
      </c>
      <c r="D47" s="20">
        <v>100</v>
      </c>
      <c r="E47" s="20">
        <v>100</v>
      </c>
      <c r="F47" s="25">
        <f t="shared" si="11"/>
        <v>100</v>
      </c>
      <c r="H47" s="85">
        <v>3</v>
      </c>
    </row>
    <row r="48" spans="1:8" x14ac:dyDescent="0.2">
      <c r="A48" s="86" t="s">
        <v>112</v>
      </c>
      <c r="B48" s="20">
        <v>100</v>
      </c>
      <c r="C48" s="20">
        <v>100</v>
      </c>
      <c r="D48" s="20">
        <v>100</v>
      </c>
      <c r="E48" s="20">
        <v>100</v>
      </c>
      <c r="F48" s="25">
        <f t="shared" si="11"/>
        <v>100</v>
      </c>
      <c r="H48" s="85">
        <v>1</v>
      </c>
    </row>
    <row r="49" spans="1:8" x14ac:dyDescent="0.2">
      <c r="A49" s="86" t="s">
        <v>127</v>
      </c>
      <c r="B49" s="20">
        <v>0</v>
      </c>
      <c r="C49" s="20">
        <v>0</v>
      </c>
      <c r="D49" s="20">
        <v>0</v>
      </c>
      <c r="E49" s="20">
        <v>0</v>
      </c>
      <c r="F49" s="25">
        <f t="shared" si="11"/>
        <v>0</v>
      </c>
      <c r="H49" s="85">
        <v>4</v>
      </c>
    </row>
    <row r="50" spans="1:8" x14ac:dyDescent="0.2">
      <c r="A50" s="86" t="s">
        <v>128</v>
      </c>
      <c r="B50" s="20">
        <v>0</v>
      </c>
      <c r="C50" s="20">
        <v>0</v>
      </c>
      <c r="D50" s="20">
        <v>0</v>
      </c>
      <c r="E50" s="20">
        <v>0</v>
      </c>
      <c r="F50" s="25">
        <f t="shared" si="11"/>
        <v>0</v>
      </c>
      <c r="H50" s="85">
        <v>4</v>
      </c>
    </row>
    <row r="51" spans="1:8" x14ac:dyDescent="0.2">
      <c r="A51" s="86" t="s">
        <v>113</v>
      </c>
      <c r="B51" s="20">
        <v>100</v>
      </c>
      <c r="C51" s="20">
        <v>100</v>
      </c>
      <c r="D51" s="20">
        <v>100</v>
      </c>
      <c r="E51" s="20">
        <v>100</v>
      </c>
      <c r="F51" s="25">
        <f t="shared" si="11"/>
        <v>100</v>
      </c>
      <c r="H51" s="85">
        <v>5</v>
      </c>
    </row>
    <row r="52" spans="1:8" x14ac:dyDescent="0.2">
      <c r="A52" s="86" t="s">
        <v>114</v>
      </c>
      <c r="B52" s="20">
        <v>100</v>
      </c>
      <c r="C52" s="20">
        <v>100</v>
      </c>
      <c r="D52" s="20">
        <v>100</v>
      </c>
      <c r="E52" s="20">
        <v>100</v>
      </c>
      <c r="F52" s="25">
        <f t="shared" si="11"/>
        <v>100</v>
      </c>
      <c r="H52" s="85">
        <v>2</v>
      </c>
    </row>
    <row r="53" spans="1:8" x14ac:dyDescent="0.2">
      <c r="A53" s="86" t="s">
        <v>106</v>
      </c>
      <c r="B53" s="20">
        <v>100</v>
      </c>
      <c r="C53" s="20">
        <v>100</v>
      </c>
      <c r="D53" s="20">
        <v>100</v>
      </c>
      <c r="E53" s="20">
        <v>100</v>
      </c>
      <c r="F53" s="25">
        <f t="shared" si="11"/>
        <v>100</v>
      </c>
      <c r="H53" s="85">
        <v>3</v>
      </c>
    </row>
    <row r="54" spans="1:8" x14ac:dyDescent="0.2">
      <c r="A54" s="86" t="s">
        <v>108</v>
      </c>
      <c r="B54" s="20">
        <v>100</v>
      </c>
      <c r="C54" s="20">
        <v>100</v>
      </c>
      <c r="D54" s="20">
        <v>100</v>
      </c>
      <c r="E54" s="20">
        <v>100</v>
      </c>
      <c r="F54" s="25">
        <f t="shared" ref="F54" si="12">AVERAGE(B54:E54)</f>
        <v>100</v>
      </c>
      <c r="H54" s="85">
        <v>5</v>
      </c>
    </row>
    <row r="55" spans="1:8" x14ac:dyDescent="0.2">
      <c r="A55" s="71"/>
      <c r="B55" s="70"/>
      <c r="C55" s="70"/>
      <c r="D55" s="70"/>
      <c r="E55" s="70"/>
      <c r="F55" s="70"/>
      <c r="H55" s="85"/>
    </row>
    <row r="56" spans="1:8" x14ac:dyDescent="0.2">
      <c r="B56" s="119" t="s">
        <v>134</v>
      </c>
      <c r="C56" s="119"/>
      <c r="D56" s="119"/>
      <c r="E56" s="119"/>
      <c r="F56" s="119"/>
    </row>
    <row r="57" spans="1:8" x14ac:dyDescent="0.2">
      <c r="B57" s="40">
        <v>43606</v>
      </c>
      <c r="C57" s="40">
        <v>43609</v>
      </c>
      <c r="D57" s="40">
        <v>43613</v>
      </c>
      <c r="E57" s="40">
        <v>43616</v>
      </c>
      <c r="F57" s="23" t="s">
        <v>47</v>
      </c>
    </row>
    <row r="58" spans="1:8" x14ac:dyDescent="0.2">
      <c r="A58" s="86" t="s">
        <v>115</v>
      </c>
      <c r="B58" s="20">
        <v>1</v>
      </c>
      <c r="C58" s="20">
        <v>1</v>
      </c>
      <c r="D58" s="20">
        <v>1</v>
      </c>
      <c r="E58" s="20">
        <v>1</v>
      </c>
      <c r="F58" s="25">
        <f>AVERAGE(B58:E58)*100</f>
        <v>100</v>
      </c>
      <c r="H58" s="85">
        <v>2</v>
      </c>
    </row>
    <row r="59" spans="1:8" x14ac:dyDescent="0.2">
      <c r="A59" s="86" t="s">
        <v>116</v>
      </c>
      <c r="B59" s="20">
        <v>1</v>
      </c>
      <c r="C59" s="20">
        <v>1</v>
      </c>
      <c r="D59" s="20">
        <v>1</v>
      </c>
      <c r="E59" s="20">
        <v>1</v>
      </c>
      <c r="F59" s="25">
        <f t="shared" ref="F59:F80" si="13">AVERAGE(B59:E59)*100</f>
        <v>100</v>
      </c>
      <c r="H59" s="85">
        <v>3</v>
      </c>
    </row>
    <row r="60" spans="1:8" x14ac:dyDescent="0.2">
      <c r="A60" s="86" t="s">
        <v>117</v>
      </c>
      <c r="B60" s="20">
        <v>1</v>
      </c>
      <c r="C60" s="20">
        <v>1</v>
      </c>
      <c r="D60" s="20">
        <v>1</v>
      </c>
      <c r="E60" s="20">
        <v>1</v>
      </c>
      <c r="F60" s="25">
        <f t="shared" si="13"/>
        <v>100</v>
      </c>
      <c r="H60" s="85">
        <v>3</v>
      </c>
    </row>
    <row r="61" spans="1:8" x14ac:dyDescent="0.2">
      <c r="A61" s="86" t="s">
        <v>118</v>
      </c>
      <c r="B61" s="20">
        <v>1</v>
      </c>
      <c r="C61" s="20">
        <v>1</v>
      </c>
      <c r="D61" s="20">
        <v>1</v>
      </c>
      <c r="E61" s="20">
        <v>1</v>
      </c>
      <c r="F61" s="25">
        <f t="shared" si="13"/>
        <v>100</v>
      </c>
      <c r="H61" s="85">
        <v>2</v>
      </c>
    </row>
    <row r="62" spans="1:8" x14ac:dyDescent="0.2">
      <c r="A62" s="86" t="s">
        <v>119</v>
      </c>
      <c r="B62" s="20">
        <v>1</v>
      </c>
      <c r="C62" s="20">
        <v>1</v>
      </c>
      <c r="D62" s="20">
        <v>1</v>
      </c>
      <c r="E62" s="20">
        <v>1</v>
      </c>
      <c r="F62" s="25">
        <f t="shared" si="13"/>
        <v>100</v>
      </c>
      <c r="H62" s="85">
        <v>2</v>
      </c>
    </row>
    <row r="63" spans="1:8" x14ac:dyDescent="0.2">
      <c r="A63" s="86" t="s">
        <v>107</v>
      </c>
      <c r="B63" s="20">
        <v>1</v>
      </c>
      <c r="C63" s="20">
        <v>1</v>
      </c>
      <c r="D63" s="20">
        <v>1</v>
      </c>
      <c r="E63" s="20">
        <v>1</v>
      </c>
      <c r="F63" s="25">
        <f t="shared" si="13"/>
        <v>100</v>
      </c>
      <c r="H63" s="85">
        <v>1</v>
      </c>
    </row>
    <row r="64" spans="1:8" x14ac:dyDescent="0.2">
      <c r="A64" s="86" t="s">
        <v>135</v>
      </c>
      <c r="B64" s="20">
        <v>0</v>
      </c>
      <c r="C64" s="20">
        <v>0</v>
      </c>
      <c r="D64" s="20">
        <v>1</v>
      </c>
      <c r="E64" s="20">
        <v>0</v>
      </c>
      <c r="F64" s="25">
        <f t="shared" si="13"/>
        <v>25</v>
      </c>
      <c r="H64" s="85">
        <v>4</v>
      </c>
    </row>
    <row r="65" spans="1:8" x14ac:dyDescent="0.2">
      <c r="A65" s="86" t="s">
        <v>120</v>
      </c>
      <c r="B65" s="20">
        <v>1</v>
      </c>
      <c r="C65" s="20">
        <v>1</v>
      </c>
      <c r="D65" s="20">
        <v>1</v>
      </c>
      <c r="E65" s="20">
        <v>1</v>
      </c>
      <c r="F65" s="25">
        <f t="shared" si="13"/>
        <v>100</v>
      </c>
      <c r="H65" s="85">
        <v>1</v>
      </c>
    </row>
    <row r="66" spans="1:8" x14ac:dyDescent="0.2">
      <c r="A66" s="86" t="s">
        <v>109</v>
      </c>
      <c r="B66" s="20">
        <v>0</v>
      </c>
      <c r="C66" s="20">
        <v>0</v>
      </c>
      <c r="D66" s="20">
        <v>1</v>
      </c>
      <c r="E66" s="20">
        <v>1</v>
      </c>
      <c r="F66" s="25">
        <f t="shared" si="13"/>
        <v>50</v>
      </c>
      <c r="H66" s="85">
        <v>4</v>
      </c>
    </row>
    <row r="67" spans="1:8" x14ac:dyDescent="0.2">
      <c r="A67" s="86" t="s">
        <v>121</v>
      </c>
      <c r="B67" s="20">
        <v>1</v>
      </c>
      <c r="C67" s="20">
        <v>1</v>
      </c>
      <c r="D67" s="20">
        <v>1</v>
      </c>
      <c r="E67" s="20">
        <v>1</v>
      </c>
      <c r="F67" s="25">
        <f t="shared" si="13"/>
        <v>100</v>
      </c>
      <c r="H67" s="85">
        <v>4</v>
      </c>
    </row>
    <row r="68" spans="1:8" x14ac:dyDescent="0.2">
      <c r="A68" s="86" t="s">
        <v>122</v>
      </c>
      <c r="B68" s="20">
        <v>1</v>
      </c>
      <c r="C68" s="20">
        <v>1</v>
      </c>
      <c r="D68" s="20">
        <v>1</v>
      </c>
      <c r="E68" s="20">
        <v>1</v>
      </c>
      <c r="F68" s="25">
        <f t="shared" si="13"/>
        <v>100</v>
      </c>
      <c r="H68" s="85">
        <v>3</v>
      </c>
    </row>
    <row r="69" spans="1:8" x14ac:dyDescent="0.2">
      <c r="A69" s="86" t="s">
        <v>123</v>
      </c>
      <c r="B69" s="20">
        <v>1</v>
      </c>
      <c r="C69" s="20">
        <v>1</v>
      </c>
      <c r="D69" s="20">
        <v>1</v>
      </c>
      <c r="E69" s="20">
        <v>1</v>
      </c>
      <c r="F69" s="25">
        <f t="shared" si="13"/>
        <v>100</v>
      </c>
      <c r="H69" s="85">
        <v>5</v>
      </c>
    </row>
    <row r="70" spans="1:8" x14ac:dyDescent="0.2">
      <c r="A70" s="86" t="s">
        <v>124</v>
      </c>
      <c r="B70" s="20">
        <v>0</v>
      </c>
      <c r="C70" s="20">
        <v>0</v>
      </c>
      <c r="D70" s="20">
        <v>1</v>
      </c>
      <c r="E70" s="20">
        <v>1</v>
      </c>
      <c r="F70" s="25">
        <f t="shared" si="13"/>
        <v>50</v>
      </c>
      <c r="H70" s="85">
        <v>5</v>
      </c>
    </row>
    <row r="71" spans="1:8" x14ac:dyDescent="0.2">
      <c r="A71" s="86" t="s">
        <v>110</v>
      </c>
      <c r="B71" s="20">
        <v>1</v>
      </c>
      <c r="C71" s="20">
        <v>1</v>
      </c>
      <c r="D71" s="20">
        <v>1</v>
      </c>
      <c r="E71" s="20">
        <v>1</v>
      </c>
      <c r="F71" s="25">
        <f t="shared" si="13"/>
        <v>100</v>
      </c>
      <c r="H71" s="85">
        <v>2</v>
      </c>
    </row>
    <row r="72" spans="1:8" x14ac:dyDescent="0.2">
      <c r="A72" s="86" t="s">
        <v>125</v>
      </c>
      <c r="B72" s="20">
        <v>1</v>
      </c>
      <c r="C72" s="20">
        <v>1</v>
      </c>
      <c r="D72" s="20">
        <v>1</v>
      </c>
      <c r="E72" s="20">
        <v>1</v>
      </c>
      <c r="F72" s="25">
        <f t="shared" si="13"/>
        <v>100</v>
      </c>
      <c r="H72" s="85">
        <v>1</v>
      </c>
    </row>
    <row r="73" spans="1:8" x14ac:dyDescent="0.2">
      <c r="A73" s="86" t="s">
        <v>111</v>
      </c>
      <c r="B73" s="20">
        <v>1</v>
      </c>
      <c r="C73" s="20">
        <v>1</v>
      </c>
      <c r="D73" s="20">
        <v>1</v>
      </c>
      <c r="E73" s="20">
        <v>1</v>
      </c>
      <c r="F73" s="25">
        <f t="shared" si="13"/>
        <v>100</v>
      </c>
      <c r="H73" s="85">
        <v>1</v>
      </c>
    </row>
    <row r="74" spans="1:8" x14ac:dyDescent="0.2">
      <c r="A74" s="86" t="s">
        <v>126</v>
      </c>
      <c r="B74" s="20">
        <v>1</v>
      </c>
      <c r="C74" s="20">
        <v>1</v>
      </c>
      <c r="D74" s="20">
        <v>1</v>
      </c>
      <c r="E74" s="20">
        <v>1</v>
      </c>
      <c r="F74" s="25">
        <f t="shared" si="13"/>
        <v>100</v>
      </c>
      <c r="H74" s="85">
        <v>3</v>
      </c>
    </row>
    <row r="75" spans="1:8" x14ac:dyDescent="0.2">
      <c r="A75" s="86" t="s">
        <v>112</v>
      </c>
      <c r="B75" s="20">
        <v>1</v>
      </c>
      <c r="C75" s="20">
        <v>1</v>
      </c>
      <c r="D75" s="20">
        <v>1</v>
      </c>
      <c r="E75" s="20">
        <v>1</v>
      </c>
      <c r="F75" s="25">
        <f t="shared" si="13"/>
        <v>100</v>
      </c>
      <c r="H75" s="85">
        <v>1</v>
      </c>
    </row>
    <row r="76" spans="1:8" x14ac:dyDescent="0.2">
      <c r="A76" s="86" t="s">
        <v>127</v>
      </c>
      <c r="B76" s="20">
        <v>1</v>
      </c>
      <c r="C76" s="20">
        <v>1</v>
      </c>
      <c r="D76" s="20">
        <v>1</v>
      </c>
      <c r="E76" s="20">
        <v>1</v>
      </c>
      <c r="F76" s="25">
        <f t="shared" si="13"/>
        <v>100</v>
      </c>
      <c r="H76" s="85">
        <v>4</v>
      </c>
    </row>
    <row r="77" spans="1:8" x14ac:dyDescent="0.2">
      <c r="A77" s="86" t="s">
        <v>128</v>
      </c>
      <c r="B77" s="20">
        <v>1</v>
      </c>
      <c r="C77" s="20">
        <v>1</v>
      </c>
      <c r="D77" s="20">
        <v>1</v>
      </c>
      <c r="E77" s="20">
        <v>1</v>
      </c>
      <c r="F77" s="25">
        <f t="shared" si="13"/>
        <v>100</v>
      </c>
      <c r="H77" s="85">
        <v>4</v>
      </c>
    </row>
    <row r="78" spans="1:8" x14ac:dyDescent="0.2">
      <c r="A78" s="86" t="s">
        <v>113</v>
      </c>
      <c r="B78" s="20">
        <v>0</v>
      </c>
      <c r="C78" s="20">
        <v>0</v>
      </c>
      <c r="D78" s="20">
        <v>1</v>
      </c>
      <c r="E78" s="20">
        <v>1</v>
      </c>
      <c r="F78" s="25">
        <f t="shared" si="13"/>
        <v>50</v>
      </c>
      <c r="H78" s="85">
        <v>5</v>
      </c>
    </row>
    <row r="79" spans="1:8" x14ac:dyDescent="0.2">
      <c r="A79" s="86" t="s">
        <v>114</v>
      </c>
      <c r="B79" s="20">
        <v>1</v>
      </c>
      <c r="C79" s="20">
        <v>1</v>
      </c>
      <c r="D79" s="20">
        <v>1</v>
      </c>
      <c r="E79" s="20">
        <v>1</v>
      </c>
      <c r="F79" s="25">
        <f t="shared" si="13"/>
        <v>100</v>
      </c>
      <c r="H79" s="85">
        <v>2</v>
      </c>
    </row>
    <row r="80" spans="1:8" x14ac:dyDescent="0.2">
      <c r="A80" s="86" t="s">
        <v>106</v>
      </c>
      <c r="B80" s="20">
        <v>1</v>
      </c>
      <c r="C80" s="20">
        <v>1</v>
      </c>
      <c r="D80" s="20">
        <v>1</v>
      </c>
      <c r="E80" s="20">
        <v>1</v>
      </c>
      <c r="F80" s="25">
        <f t="shared" si="13"/>
        <v>100</v>
      </c>
      <c r="H80" s="85">
        <v>3</v>
      </c>
    </row>
    <row r="81" spans="1:8" x14ac:dyDescent="0.2">
      <c r="A81" s="86" t="s">
        <v>108</v>
      </c>
      <c r="B81" s="20">
        <v>1</v>
      </c>
      <c r="C81" s="20">
        <v>0</v>
      </c>
      <c r="D81" s="20">
        <v>1</v>
      </c>
      <c r="E81" s="20">
        <v>1</v>
      </c>
      <c r="F81" s="25">
        <f t="shared" ref="F81" si="14">AVERAGE(B81:E81)*100</f>
        <v>75</v>
      </c>
      <c r="H81" s="85">
        <v>5</v>
      </c>
    </row>
    <row r="82" spans="1:8" x14ac:dyDescent="0.2">
      <c r="H82" s="85"/>
    </row>
  </sheetData>
  <sheetProtection selectLockedCells="1" selectUnlockedCells="1"/>
  <mergeCells count="3">
    <mergeCell ref="A1:K1"/>
    <mergeCell ref="B56:F56"/>
    <mergeCell ref="B29:F29"/>
  </mergeCells>
  <pageMargins left="0.19652777777777777" right="0.19652777777777777" top="0.19652777777777777" bottom="0.19652777777777777" header="0.51180555555555551" footer="0.51180555555555551"/>
  <pageSetup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pane xSplit="1" ySplit="3" topLeftCell="B4" activePane="bottomRight" state="frozen"/>
      <selection pane="topRight" activeCell="C1" sqref="C1"/>
      <selection pane="bottomLeft" activeCell="A9" sqref="A9"/>
      <selection pane="bottomRight" activeCell="C32" sqref="C32"/>
    </sheetView>
  </sheetViews>
  <sheetFormatPr baseColWidth="10" defaultColWidth="11.42578125" defaultRowHeight="12.75" x14ac:dyDescent="0.2"/>
  <cols>
    <col min="1" max="1" width="7.7109375" style="8" customWidth="1"/>
    <col min="2" max="8" width="10.7109375" style="8" customWidth="1"/>
    <col min="9" max="11" width="15.7109375" style="8" customWidth="1"/>
    <col min="12" max="13" width="15.5703125" style="8" customWidth="1"/>
    <col min="14" max="14" width="10.5703125" style="8" customWidth="1"/>
    <col min="15" max="16384" width="11.42578125" style="8"/>
  </cols>
  <sheetData>
    <row r="1" spans="1:16" ht="15.75" x14ac:dyDescent="0.25">
      <c r="A1" s="118" t="s">
        <v>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6" x14ac:dyDescent="0.2">
      <c r="A2" s="9"/>
      <c r="B2" s="17"/>
      <c r="C2" s="18"/>
      <c r="D2" s="18"/>
      <c r="E2" s="18"/>
      <c r="F2" s="18"/>
      <c r="G2" s="18"/>
      <c r="H2" s="18"/>
      <c r="I2" s="18"/>
      <c r="J2" s="10"/>
      <c r="K2" s="10"/>
    </row>
    <row r="3" spans="1:16" x14ac:dyDescent="0.2">
      <c r="A3" s="19" t="s">
        <v>1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 t="s">
        <v>39</v>
      </c>
      <c r="J3" s="19" t="s">
        <v>41</v>
      </c>
      <c r="K3" s="19" t="s">
        <v>42</v>
      </c>
      <c r="L3" s="19" t="s">
        <v>85</v>
      </c>
      <c r="M3" s="69" t="s">
        <v>86</v>
      </c>
    </row>
    <row r="4" spans="1:16" x14ac:dyDescent="0.2">
      <c r="A4" s="86" t="s">
        <v>115</v>
      </c>
      <c r="B4" s="20">
        <v>20</v>
      </c>
      <c r="C4" s="20">
        <v>10</v>
      </c>
      <c r="D4" s="20">
        <v>10</v>
      </c>
      <c r="E4" s="20">
        <v>27</v>
      </c>
      <c r="F4" s="20">
        <f>P4*0.25</f>
        <v>25</v>
      </c>
      <c r="G4" s="20">
        <v>3</v>
      </c>
      <c r="H4" s="20">
        <f>F58*0.05</f>
        <v>5</v>
      </c>
      <c r="I4" s="21">
        <f>B4+C4+D4+E4+F4+G4+H4</f>
        <v>100</v>
      </c>
      <c r="J4" s="21">
        <f t="shared" ref="J4:J5" si="0">(C4+E4+F4+H4)</f>
        <v>67</v>
      </c>
      <c r="K4" s="21">
        <f>(B4+D4+G4)</f>
        <v>33</v>
      </c>
      <c r="L4" s="21">
        <f>F31</f>
        <v>100</v>
      </c>
      <c r="M4" s="50">
        <f>AVERAGE(L4,I4)</f>
        <v>100</v>
      </c>
      <c r="O4" s="85">
        <v>2</v>
      </c>
      <c r="P4" s="20">
        <v>100</v>
      </c>
    </row>
    <row r="5" spans="1:16" x14ac:dyDescent="0.2">
      <c r="A5" s="86" t="s">
        <v>116</v>
      </c>
      <c r="B5" s="20">
        <v>20</v>
      </c>
      <c r="C5" s="20">
        <v>10</v>
      </c>
      <c r="D5" s="20">
        <v>10</v>
      </c>
      <c r="E5" s="20">
        <v>24.3</v>
      </c>
      <c r="F5" s="20">
        <f t="shared" ref="F5:F6" si="1">P5*0.25</f>
        <v>20</v>
      </c>
      <c r="G5" s="20">
        <v>3</v>
      </c>
      <c r="H5" s="20">
        <f>F59*0.05</f>
        <v>5</v>
      </c>
      <c r="I5" s="21">
        <f t="shared" ref="I5:I6" si="2">B5+C5+D5+E5+F5+G5+H5</f>
        <v>92.3</v>
      </c>
      <c r="J5" s="21">
        <f t="shared" si="0"/>
        <v>59.3</v>
      </c>
      <c r="K5" s="21">
        <f t="shared" ref="K5:K6" si="3">(B5+D5+G5)</f>
        <v>33</v>
      </c>
      <c r="L5" s="21">
        <f>F32</f>
        <v>98.75</v>
      </c>
      <c r="M5" s="50">
        <f t="shared" ref="M5:M6" si="4">AVERAGE(L5,I5)</f>
        <v>95.525000000000006</v>
      </c>
      <c r="O5" s="85">
        <v>3</v>
      </c>
      <c r="P5" s="20">
        <v>80</v>
      </c>
    </row>
    <row r="6" spans="1:16" x14ac:dyDescent="0.2">
      <c r="A6" s="86" t="s">
        <v>117</v>
      </c>
      <c r="B6" s="20">
        <v>20</v>
      </c>
      <c r="C6" s="20">
        <v>10</v>
      </c>
      <c r="D6" s="20">
        <v>10</v>
      </c>
      <c r="E6" s="20">
        <v>24.3</v>
      </c>
      <c r="F6" s="20">
        <f t="shared" si="1"/>
        <v>20</v>
      </c>
      <c r="G6" s="20">
        <v>3</v>
      </c>
      <c r="H6" s="20">
        <f t="shared" ref="H6:H27" si="5">F60*0.05</f>
        <v>5</v>
      </c>
      <c r="I6" s="21">
        <f t="shared" si="2"/>
        <v>92.3</v>
      </c>
      <c r="J6" s="21">
        <f t="shared" ref="J6:J27" si="6">(C6+E6+F6+H6)</f>
        <v>59.3</v>
      </c>
      <c r="K6" s="21">
        <f t="shared" si="3"/>
        <v>33</v>
      </c>
      <c r="L6" s="21">
        <f t="shared" ref="L6:L27" si="7">F33</f>
        <v>100</v>
      </c>
      <c r="M6" s="50">
        <f t="shared" si="4"/>
        <v>96.15</v>
      </c>
      <c r="O6" s="85">
        <v>3</v>
      </c>
      <c r="P6" s="20">
        <v>80</v>
      </c>
    </row>
    <row r="7" spans="1:16" x14ac:dyDescent="0.2">
      <c r="A7" s="86" t="s">
        <v>118</v>
      </c>
      <c r="B7" s="20">
        <v>20</v>
      </c>
      <c r="C7" s="20">
        <v>10</v>
      </c>
      <c r="D7" s="20">
        <v>10</v>
      </c>
      <c r="E7" s="20">
        <v>27</v>
      </c>
      <c r="F7" s="20">
        <f t="shared" ref="F7:F27" si="8">P7*0.25</f>
        <v>25</v>
      </c>
      <c r="G7" s="20">
        <v>3</v>
      </c>
      <c r="H7" s="20">
        <f t="shared" si="5"/>
        <v>3.75</v>
      </c>
      <c r="I7" s="21">
        <f t="shared" ref="I7:I27" si="9">B7+C7+D7+E7+F7+G7+H7</f>
        <v>98.75</v>
      </c>
      <c r="J7" s="21">
        <f t="shared" si="6"/>
        <v>65.75</v>
      </c>
      <c r="K7" s="21">
        <f t="shared" ref="K7:K27" si="10">(B7+D7+G7)</f>
        <v>33</v>
      </c>
      <c r="L7" s="21">
        <f t="shared" si="7"/>
        <v>100</v>
      </c>
      <c r="M7" s="50">
        <f t="shared" ref="M7:M27" si="11">AVERAGE(L7,I7)</f>
        <v>99.375</v>
      </c>
      <c r="N7" s="31"/>
      <c r="O7" s="85">
        <v>2</v>
      </c>
      <c r="P7" s="20">
        <v>100</v>
      </c>
    </row>
    <row r="8" spans="1:16" x14ac:dyDescent="0.2">
      <c r="A8" s="86" t="s">
        <v>119</v>
      </c>
      <c r="B8" s="20">
        <v>20</v>
      </c>
      <c r="C8" s="20">
        <v>10</v>
      </c>
      <c r="D8" s="20">
        <v>10</v>
      </c>
      <c r="E8" s="20">
        <v>27</v>
      </c>
      <c r="F8" s="20">
        <f t="shared" si="8"/>
        <v>25</v>
      </c>
      <c r="G8" s="20">
        <v>3</v>
      </c>
      <c r="H8" s="20">
        <f t="shared" si="5"/>
        <v>5</v>
      </c>
      <c r="I8" s="21">
        <f t="shared" si="9"/>
        <v>100</v>
      </c>
      <c r="J8" s="21">
        <f t="shared" si="6"/>
        <v>67</v>
      </c>
      <c r="K8" s="21">
        <f t="shared" si="10"/>
        <v>33</v>
      </c>
      <c r="L8" s="21">
        <f t="shared" si="7"/>
        <v>100</v>
      </c>
      <c r="M8" s="50">
        <f t="shared" si="11"/>
        <v>100</v>
      </c>
      <c r="N8" s="31"/>
      <c r="O8" s="85">
        <v>2</v>
      </c>
      <c r="P8" s="20">
        <v>100</v>
      </c>
    </row>
    <row r="9" spans="1:16" x14ac:dyDescent="0.2">
      <c r="A9" s="86" t="s">
        <v>107</v>
      </c>
      <c r="B9" s="20">
        <v>20</v>
      </c>
      <c r="C9" s="20">
        <v>10</v>
      </c>
      <c r="D9" s="20">
        <v>10</v>
      </c>
      <c r="E9" s="20">
        <v>24.3</v>
      </c>
      <c r="F9" s="20">
        <f t="shared" si="8"/>
        <v>20</v>
      </c>
      <c r="G9" s="20">
        <v>3</v>
      </c>
      <c r="H9" s="20">
        <f t="shared" si="5"/>
        <v>5</v>
      </c>
      <c r="I9" s="21">
        <f t="shared" si="9"/>
        <v>92.3</v>
      </c>
      <c r="J9" s="21">
        <f t="shared" si="6"/>
        <v>59.3</v>
      </c>
      <c r="K9" s="21">
        <f t="shared" si="10"/>
        <v>33</v>
      </c>
      <c r="L9" s="21">
        <f t="shared" si="7"/>
        <v>100</v>
      </c>
      <c r="M9" s="50">
        <f t="shared" si="11"/>
        <v>96.15</v>
      </c>
      <c r="O9" s="85">
        <v>1</v>
      </c>
      <c r="P9" s="20">
        <v>80</v>
      </c>
    </row>
    <row r="10" spans="1:16" x14ac:dyDescent="0.2">
      <c r="A10" s="86" t="s">
        <v>135</v>
      </c>
      <c r="B10" s="20">
        <v>0</v>
      </c>
      <c r="C10" s="20">
        <v>0</v>
      </c>
      <c r="D10" s="20">
        <v>0</v>
      </c>
      <c r="E10" s="20">
        <v>27</v>
      </c>
      <c r="F10" s="20">
        <f t="shared" si="8"/>
        <v>25</v>
      </c>
      <c r="G10" s="20">
        <v>3</v>
      </c>
      <c r="H10" s="20">
        <f t="shared" si="5"/>
        <v>3.75</v>
      </c>
      <c r="I10" s="21">
        <f t="shared" si="9"/>
        <v>58.75</v>
      </c>
      <c r="J10" s="21">
        <f t="shared" si="6"/>
        <v>55.75</v>
      </c>
      <c r="K10" s="21">
        <f t="shared" si="10"/>
        <v>3</v>
      </c>
      <c r="L10" s="21">
        <f t="shared" si="7"/>
        <v>0</v>
      </c>
      <c r="M10" s="50">
        <f t="shared" si="11"/>
        <v>29.375</v>
      </c>
      <c r="N10" s="31"/>
      <c r="O10" s="85">
        <v>4</v>
      </c>
      <c r="P10" s="20">
        <v>100</v>
      </c>
    </row>
    <row r="11" spans="1:16" x14ac:dyDescent="0.2">
      <c r="A11" s="86" t="s">
        <v>120</v>
      </c>
      <c r="B11" s="20">
        <v>20</v>
      </c>
      <c r="C11" s="20">
        <v>10</v>
      </c>
      <c r="D11" s="20">
        <v>10</v>
      </c>
      <c r="E11" s="20">
        <v>24.3</v>
      </c>
      <c r="F11" s="20">
        <f t="shared" si="8"/>
        <v>20</v>
      </c>
      <c r="G11" s="20">
        <v>3</v>
      </c>
      <c r="H11" s="20">
        <f t="shared" si="5"/>
        <v>5</v>
      </c>
      <c r="I11" s="21">
        <f t="shared" si="9"/>
        <v>92.3</v>
      </c>
      <c r="J11" s="21">
        <f t="shared" si="6"/>
        <v>59.3</v>
      </c>
      <c r="K11" s="21">
        <f t="shared" si="10"/>
        <v>33</v>
      </c>
      <c r="L11" s="21">
        <f t="shared" si="7"/>
        <v>100</v>
      </c>
      <c r="M11" s="50">
        <f t="shared" si="11"/>
        <v>96.15</v>
      </c>
      <c r="O11" s="85">
        <v>1</v>
      </c>
      <c r="P11" s="20">
        <v>80</v>
      </c>
    </row>
    <row r="12" spans="1:16" x14ac:dyDescent="0.2">
      <c r="A12" s="86" t="s">
        <v>109</v>
      </c>
      <c r="B12" s="20">
        <v>0</v>
      </c>
      <c r="C12" s="20">
        <v>0</v>
      </c>
      <c r="D12" s="20">
        <v>0</v>
      </c>
      <c r="E12" s="20">
        <v>27</v>
      </c>
      <c r="F12" s="20">
        <f t="shared" si="8"/>
        <v>25</v>
      </c>
      <c r="G12" s="20">
        <v>3</v>
      </c>
      <c r="H12" s="20">
        <f t="shared" si="5"/>
        <v>0</v>
      </c>
      <c r="I12" s="21">
        <f t="shared" si="9"/>
        <v>55</v>
      </c>
      <c r="J12" s="21">
        <f t="shared" si="6"/>
        <v>52</v>
      </c>
      <c r="K12" s="21">
        <f t="shared" si="10"/>
        <v>3</v>
      </c>
      <c r="L12" s="21">
        <f t="shared" si="7"/>
        <v>25</v>
      </c>
      <c r="M12" s="50">
        <f t="shared" si="11"/>
        <v>40</v>
      </c>
      <c r="O12" s="85">
        <v>4</v>
      </c>
      <c r="P12" s="20">
        <v>100</v>
      </c>
    </row>
    <row r="13" spans="1:16" x14ac:dyDescent="0.2">
      <c r="A13" s="86" t="s">
        <v>121</v>
      </c>
      <c r="B13" s="20">
        <v>20</v>
      </c>
      <c r="C13" s="20">
        <v>10</v>
      </c>
      <c r="D13" s="20">
        <v>10</v>
      </c>
      <c r="E13" s="20">
        <v>27</v>
      </c>
      <c r="F13" s="20">
        <f t="shared" si="8"/>
        <v>25</v>
      </c>
      <c r="G13" s="20">
        <v>3</v>
      </c>
      <c r="H13" s="20">
        <f t="shared" si="5"/>
        <v>5</v>
      </c>
      <c r="I13" s="21">
        <f t="shared" si="9"/>
        <v>100</v>
      </c>
      <c r="J13" s="21">
        <f t="shared" si="6"/>
        <v>67</v>
      </c>
      <c r="K13" s="21">
        <f t="shared" si="10"/>
        <v>33</v>
      </c>
      <c r="L13" s="21">
        <f t="shared" si="7"/>
        <v>100</v>
      </c>
      <c r="M13" s="50">
        <f t="shared" si="11"/>
        <v>100</v>
      </c>
      <c r="O13" s="85">
        <v>4</v>
      </c>
      <c r="P13" s="20">
        <v>100</v>
      </c>
    </row>
    <row r="14" spans="1:16" x14ac:dyDescent="0.2">
      <c r="A14" s="86" t="s">
        <v>122</v>
      </c>
      <c r="B14" s="20">
        <v>20</v>
      </c>
      <c r="C14" s="20">
        <v>10</v>
      </c>
      <c r="D14" s="20">
        <v>10</v>
      </c>
      <c r="E14" s="20">
        <v>24.3</v>
      </c>
      <c r="F14" s="20">
        <f t="shared" si="8"/>
        <v>20</v>
      </c>
      <c r="G14" s="20">
        <v>3</v>
      </c>
      <c r="H14" s="20">
        <f t="shared" si="5"/>
        <v>5</v>
      </c>
      <c r="I14" s="21">
        <f t="shared" si="9"/>
        <v>92.3</v>
      </c>
      <c r="J14" s="21">
        <f t="shared" si="6"/>
        <v>59.3</v>
      </c>
      <c r="K14" s="21">
        <f t="shared" si="10"/>
        <v>33</v>
      </c>
      <c r="L14" s="21">
        <f t="shared" si="7"/>
        <v>96.25</v>
      </c>
      <c r="M14" s="50">
        <f t="shared" si="11"/>
        <v>94.275000000000006</v>
      </c>
      <c r="O14" s="85">
        <v>3</v>
      </c>
      <c r="P14" s="20">
        <v>80</v>
      </c>
    </row>
    <row r="15" spans="1:16" x14ac:dyDescent="0.2">
      <c r="A15" s="86" t="s">
        <v>123</v>
      </c>
      <c r="B15" s="20">
        <v>20</v>
      </c>
      <c r="C15" s="20">
        <v>10</v>
      </c>
      <c r="D15" s="20">
        <v>10</v>
      </c>
      <c r="E15" s="20">
        <v>27</v>
      </c>
      <c r="F15" s="20">
        <f t="shared" si="8"/>
        <v>25</v>
      </c>
      <c r="G15" s="20">
        <v>3</v>
      </c>
      <c r="H15" s="20">
        <f t="shared" si="5"/>
        <v>5</v>
      </c>
      <c r="I15" s="21">
        <f t="shared" si="9"/>
        <v>100</v>
      </c>
      <c r="J15" s="21">
        <f t="shared" si="6"/>
        <v>67</v>
      </c>
      <c r="K15" s="21">
        <f t="shared" si="10"/>
        <v>33</v>
      </c>
      <c r="L15" s="21">
        <f t="shared" si="7"/>
        <v>100</v>
      </c>
      <c r="M15" s="50">
        <f t="shared" si="11"/>
        <v>100</v>
      </c>
      <c r="O15" s="85">
        <v>5</v>
      </c>
      <c r="P15" s="20">
        <v>100</v>
      </c>
    </row>
    <row r="16" spans="1:16" x14ac:dyDescent="0.2">
      <c r="A16" s="86" t="s">
        <v>124</v>
      </c>
      <c r="B16" s="20">
        <v>20</v>
      </c>
      <c r="C16" s="20">
        <v>10</v>
      </c>
      <c r="D16" s="20">
        <v>10</v>
      </c>
      <c r="E16" s="20">
        <v>27</v>
      </c>
      <c r="F16" s="20">
        <f t="shared" si="8"/>
        <v>25</v>
      </c>
      <c r="G16" s="20">
        <v>3</v>
      </c>
      <c r="H16" s="20">
        <f t="shared" si="5"/>
        <v>5</v>
      </c>
      <c r="I16" s="21">
        <f t="shared" si="9"/>
        <v>100</v>
      </c>
      <c r="J16" s="21">
        <f t="shared" si="6"/>
        <v>67</v>
      </c>
      <c r="K16" s="21">
        <f t="shared" si="10"/>
        <v>33</v>
      </c>
      <c r="L16" s="21">
        <f t="shared" si="7"/>
        <v>100</v>
      </c>
      <c r="M16" s="50">
        <f t="shared" si="11"/>
        <v>100</v>
      </c>
      <c r="O16" s="85">
        <v>5</v>
      </c>
      <c r="P16" s="20">
        <v>100</v>
      </c>
    </row>
    <row r="17" spans="1:16" x14ac:dyDescent="0.2">
      <c r="A17" s="86" t="s">
        <v>110</v>
      </c>
      <c r="B17" s="20">
        <v>20</v>
      </c>
      <c r="C17" s="20">
        <v>10</v>
      </c>
      <c r="D17" s="20">
        <v>10</v>
      </c>
      <c r="E17" s="20">
        <v>27</v>
      </c>
      <c r="F17" s="20">
        <f t="shared" si="8"/>
        <v>25</v>
      </c>
      <c r="G17" s="20">
        <v>3</v>
      </c>
      <c r="H17" s="20">
        <f t="shared" si="5"/>
        <v>5</v>
      </c>
      <c r="I17" s="21">
        <f t="shared" si="9"/>
        <v>100</v>
      </c>
      <c r="J17" s="21">
        <f t="shared" si="6"/>
        <v>67</v>
      </c>
      <c r="K17" s="21">
        <f t="shared" si="10"/>
        <v>33</v>
      </c>
      <c r="L17" s="21">
        <f t="shared" si="7"/>
        <v>100</v>
      </c>
      <c r="M17" s="50">
        <f t="shared" si="11"/>
        <v>100</v>
      </c>
      <c r="N17" s="31"/>
      <c r="O17" s="85">
        <v>2</v>
      </c>
      <c r="P17" s="20">
        <v>100</v>
      </c>
    </row>
    <row r="18" spans="1:16" x14ac:dyDescent="0.2">
      <c r="A18" s="86" t="s">
        <v>125</v>
      </c>
      <c r="B18" s="20">
        <v>20</v>
      </c>
      <c r="C18" s="20">
        <v>10</v>
      </c>
      <c r="D18" s="20">
        <v>10</v>
      </c>
      <c r="E18" s="20">
        <v>0</v>
      </c>
      <c r="F18" s="20">
        <f t="shared" si="8"/>
        <v>20</v>
      </c>
      <c r="G18" s="20">
        <v>3</v>
      </c>
      <c r="H18" s="20">
        <f t="shared" si="5"/>
        <v>5</v>
      </c>
      <c r="I18" s="21">
        <f t="shared" si="9"/>
        <v>68</v>
      </c>
      <c r="J18" s="21">
        <f t="shared" si="6"/>
        <v>35</v>
      </c>
      <c r="K18" s="21">
        <f t="shared" si="10"/>
        <v>33</v>
      </c>
      <c r="L18" s="21">
        <f t="shared" si="7"/>
        <v>100</v>
      </c>
      <c r="M18" s="50">
        <f t="shared" si="11"/>
        <v>84</v>
      </c>
      <c r="O18" s="85">
        <v>1</v>
      </c>
      <c r="P18" s="20">
        <v>80</v>
      </c>
    </row>
    <row r="19" spans="1:16" x14ac:dyDescent="0.2">
      <c r="A19" s="86" t="s">
        <v>111</v>
      </c>
      <c r="B19" s="20">
        <v>20</v>
      </c>
      <c r="C19" s="20">
        <v>10</v>
      </c>
      <c r="D19" s="20">
        <v>10</v>
      </c>
      <c r="E19" s="20">
        <v>24.3</v>
      </c>
      <c r="F19" s="20">
        <f t="shared" si="8"/>
        <v>20</v>
      </c>
      <c r="G19" s="20">
        <v>3</v>
      </c>
      <c r="H19" s="20">
        <f t="shared" si="5"/>
        <v>5</v>
      </c>
      <c r="I19" s="21">
        <f t="shared" si="9"/>
        <v>92.3</v>
      </c>
      <c r="J19" s="21">
        <f t="shared" si="6"/>
        <v>59.3</v>
      </c>
      <c r="K19" s="21">
        <f t="shared" si="10"/>
        <v>33</v>
      </c>
      <c r="L19" s="21">
        <f t="shared" si="7"/>
        <v>100</v>
      </c>
      <c r="M19" s="50">
        <f t="shared" si="11"/>
        <v>96.15</v>
      </c>
      <c r="O19" s="85">
        <v>1</v>
      </c>
      <c r="P19" s="20">
        <v>80</v>
      </c>
    </row>
    <row r="20" spans="1:16" x14ac:dyDescent="0.2">
      <c r="A20" s="86" t="s">
        <v>126</v>
      </c>
      <c r="B20" s="20">
        <v>20</v>
      </c>
      <c r="C20" s="20">
        <v>10</v>
      </c>
      <c r="D20" s="20">
        <v>10</v>
      </c>
      <c r="E20" s="20">
        <v>24.3</v>
      </c>
      <c r="F20" s="20">
        <f t="shared" si="8"/>
        <v>20</v>
      </c>
      <c r="G20" s="20">
        <v>3</v>
      </c>
      <c r="H20" s="20">
        <f t="shared" si="5"/>
        <v>5</v>
      </c>
      <c r="I20" s="21">
        <f t="shared" si="9"/>
        <v>92.3</v>
      </c>
      <c r="J20" s="21">
        <f t="shared" si="6"/>
        <v>59.3</v>
      </c>
      <c r="K20" s="21">
        <f t="shared" si="10"/>
        <v>33</v>
      </c>
      <c r="L20" s="21">
        <f t="shared" si="7"/>
        <v>100</v>
      </c>
      <c r="M20" s="50">
        <f t="shared" si="11"/>
        <v>96.15</v>
      </c>
      <c r="O20" s="85">
        <v>3</v>
      </c>
      <c r="P20" s="20">
        <v>80</v>
      </c>
    </row>
    <row r="21" spans="1:16" x14ac:dyDescent="0.2">
      <c r="A21" s="86" t="s">
        <v>112</v>
      </c>
      <c r="B21" s="20">
        <v>20</v>
      </c>
      <c r="C21" s="20">
        <v>10</v>
      </c>
      <c r="D21" s="20">
        <v>10</v>
      </c>
      <c r="E21" s="20">
        <v>24.3</v>
      </c>
      <c r="F21" s="20">
        <f t="shared" si="8"/>
        <v>20</v>
      </c>
      <c r="G21" s="20">
        <v>3</v>
      </c>
      <c r="H21" s="20">
        <f t="shared" si="5"/>
        <v>5</v>
      </c>
      <c r="I21" s="21">
        <f t="shared" si="9"/>
        <v>92.3</v>
      </c>
      <c r="J21" s="21">
        <f t="shared" si="6"/>
        <v>59.3</v>
      </c>
      <c r="K21" s="21">
        <f t="shared" si="10"/>
        <v>33</v>
      </c>
      <c r="L21" s="21">
        <f t="shared" si="7"/>
        <v>100</v>
      </c>
      <c r="M21" s="50">
        <f t="shared" si="11"/>
        <v>96.15</v>
      </c>
      <c r="O21" s="85">
        <v>1</v>
      </c>
      <c r="P21" s="20">
        <v>80</v>
      </c>
    </row>
    <row r="22" spans="1:16" x14ac:dyDescent="0.2">
      <c r="A22" s="86" t="s">
        <v>127</v>
      </c>
      <c r="B22" s="20">
        <v>20</v>
      </c>
      <c r="C22" s="20">
        <v>10</v>
      </c>
      <c r="D22" s="20">
        <v>10</v>
      </c>
      <c r="E22" s="20">
        <v>27</v>
      </c>
      <c r="F22" s="20">
        <f t="shared" si="8"/>
        <v>25</v>
      </c>
      <c r="G22" s="20">
        <v>3</v>
      </c>
      <c r="H22" s="20">
        <f t="shared" si="5"/>
        <v>5</v>
      </c>
      <c r="I22" s="21">
        <f t="shared" si="9"/>
        <v>100</v>
      </c>
      <c r="J22" s="21">
        <f t="shared" si="6"/>
        <v>67</v>
      </c>
      <c r="K22" s="21">
        <f t="shared" si="10"/>
        <v>33</v>
      </c>
      <c r="L22" s="21">
        <f t="shared" si="7"/>
        <v>100</v>
      </c>
      <c r="M22" s="50">
        <f t="shared" si="11"/>
        <v>100</v>
      </c>
      <c r="N22" s="31"/>
      <c r="O22" s="85">
        <v>4</v>
      </c>
      <c r="P22" s="20">
        <v>100</v>
      </c>
    </row>
    <row r="23" spans="1:16" x14ac:dyDescent="0.2">
      <c r="A23" s="86" t="s">
        <v>128</v>
      </c>
      <c r="B23" s="20">
        <v>20</v>
      </c>
      <c r="C23" s="20">
        <v>10</v>
      </c>
      <c r="D23" s="20">
        <v>10</v>
      </c>
      <c r="E23" s="20">
        <v>27</v>
      </c>
      <c r="F23" s="20">
        <f t="shared" si="8"/>
        <v>25</v>
      </c>
      <c r="G23" s="20">
        <v>3</v>
      </c>
      <c r="H23" s="20">
        <f t="shared" si="5"/>
        <v>5</v>
      </c>
      <c r="I23" s="21">
        <f t="shared" si="9"/>
        <v>100</v>
      </c>
      <c r="J23" s="21">
        <f t="shared" si="6"/>
        <v>67</v>
      </c>
      <c r="K23" s="21">
        <f t="shared" si="10"/>
        <v>33</v>
      </c>
      <c r="L23" s="21">
        <f t="shared" si="7"/>
        <v>100</v>
      </c>
      <c r="M23" s="50">
        <f t="shared" si="11"/>
        <v>100</v>
      </c>
      <c r="O23" s="85">
        <v>4</v>
      </c>
      <c r="P23" s="20">
        <v>100</v>
      </c>
    </row>
    <row r="24" spans="1:16" x14ac:dyDescent="0.2">
      <c r="A24" s="86" t="s">
        <v>113</v>
      </c>
      <c r="B24" s="20">
        <v>20</v>
      </c>
      <c r="C24" s="20">
        <v>10</v>
      </c>
      <c r="D24" s="20">
        <v>10</v>
      </c>
      <c r="E24" s="20">
        <v>27</v>
      </c>
      <c r="F24" s="20">
        <f t="shared" si="8"/>
        <v>25</v>
      </c>
      <c r="G24" s="20">
        <v>3</v>
      </c>
      <c r="H24" s="20">
        <f t="shared" si="5"/>
        <v>5</v>
      </c>
      <c r="I24" s="21">
        <f t="shared" si="9"/>
        <v>100</v>
      </c>
      <c r="J24" s="21">
        <f t="shared" si="6"/>
        <v>67</v>
      </c>
      <c r="K24" s="21">
        <f t="shared" si="10"/>
        <v>33</v>
      </c>
      <c r="L24" s="21">
        <f t="shared" si="7"/>
        <v>100</v>
      </c>
      <c r="M24" s="50">
        <f t="shared" si="11"/>
        <v>100</v>
      </c>
      <c r="O24" s="85">
        <v>5</v>
      </c>
      <c r="P24" s="20">
        <v>100</v>
      </c>
    </row>
    <row r="25" spans="1:16" x14ac:dyDescent="0.2">
      <c r="A25" s="86" t="s">
        <v>114</v>
      </c>
      <c r="B25" s="20">
        <v>20</v>
      </c>
      <c r="C25" s="20">
        <v>10</v>
      </c>
      <c r="D25" s="20">
        <v>10</v>
      </c>
      <c r="E25" s="20">
        <v>27</v>
      </c>
      <c r="F25" s="20">
        <f t="shared" si="8"/>
        <v>25</v>
      </c>
      <c r="G25" s="20">
        <v>3</v>
      </c>
      <c r="H25" s="20">
        <f t="shared" si="5"/>
        <v>5</v>
      </c>
      <c r="I25" s="21">
        <f t="shared" si="9"/>
        <v>100</v>
      </c>
      <c r="J25" s="21">
        <f t="shared" si="6"/>
        <v>67</v>
      </c>
      <c r="K25" s="21">
        <f t="shared" si="10"/>
        <v>33</v>
      </c>
      <c r="L25" s="21">
        <f t="shared" si="7"/>
        <v>100</v>
      </c>
      <c r="M25" s="50">
        <f t="shared" si="11"/>
        <v>100</v>
      </c>
      <c r="O25" s="85">
        <v>2</v>
      </c>
      <c r="P25" s="20">
        <v>100</v>
      </c>
    </row>
    <row r="26" spans="1:16" x14ac:dyDescent="0.2">
      <c r="A26" s="86" t="s">
        <v>106</v>
      </c>
      <c r="B26" s="20">
        <v>20</v>
      </c>
      <c r="C26" s="20">
        <v>10</v>
      </c>
      <c r="D26" s="20">
        <v>10</v>
      </c>
      <c r="E26" s="20">
        <v>24.3</v>
      </c>
      <c r="F26" s="20">
        <f t="shared" si="8"/>
        <v>20</v>
      </c>
      <c r="G26" s="20">
        <v>3</v>
      </c>
      <c r="H26" s="20">
        <f t="shared" si="5"/>
        <v>5</v>
      </c>
      <c r="I26" s="21">
        <f t="shared" si="9"/>
        <v>92.3</v>
      </c>
      <c r="J26" s="21">
        <f t="shared" si="6"/>
        <v>59.3</v>
      </c>
      <c r="K26" s="21">
        <f t="shared" si="10"/>
        <v>33</v>
      </c>
      <c r="L26" s="21">
        <f t="shared" si="7"/>
        <v>100</v>
      </c>
      <c r="M26" s="50">
        <f t="shared" si="11"/>
        <v>96.15</v>
      </c>
      <c r="O26" s="85">
        <v>3</v>
      </c>
      <c r="P26" s="20">
        <v>80</v>
      </c>
    </row>
    <row r="27" spans="1:16" x14ac:dyDescent="0.2">
      <c r="A27" s="86" t="s">
        <v>108</v>
      </c>
      <c r="B27" s="20">
        <v>20</v>
      </c>
      <c r="C27" s="20">
        <v>10</v>
      </c>
      <c r="D27" s="20">
        <v>10</v>
      </c>
      <c r="E27" s="20">
        <v>27</v>
      </c>
      <c r="F27" s="20">
        <f t="shared" si="8"/>
        <v>25</v>
      </c>
      <c r="G27" s="20">
        <v>3</v>
      </c>
      <c r="H27" s="20">
        <f t="shared" si="5"/>
        <v>3.75</v>
      </c>
      <c r="I27" s="21">
        <f t="shared" si="9"/>
        <v>98.75</v>
      </c>
      <c r="J27" s="21">
        <f t="shared" si="6"/>
        <v>65.75</v>
      </c>
      <c r="K27" s="21">
        <f t="shared" si="10"/>
        <v>33</v>
      </c>
      <c r="L27" s="21">
        <f t="shared" si="7"/>
        <v>100</v>
      </c>
      <c r="M27" s="50">
        <f t="shared" si="11"/>
        <v>99.375</v>
      </c>
      <c r="O27" s="85">
        <v>5</v>
      </c>
      <c r="P27" s="20">
        <v>100</v>
      </c>
    </row>
    <row r="28" spans="1:16" x14ac:dyDescent="0.2">
      <c r="O28" s="85"/>
    </row>
    <row r="29" spans="1:16" x14ac:dyDescent="0.2">
      <c r="B29" s="120" t="s">
        <v>84</v>
      </c>
      <c r="C29" s="120"/>
      <c r="D29" s="120"/>
      <c r="E29" s="120"/>
      <c r="F29" s="120"/>
      <c r="O29" s="41"/>
    </row>
    <row r="30" spans="1:16" x14ac:dyDescent="0.2">
      <c r="B30" s="22" t="s">
        <v>45</v>
      </c>
      <c r="C30" s="22" t="s">
        <v>46</v>
      </c>
      <c r="D30" s="22" t="s">
        <v>78</v>
      </c>
      <c r="E30" s="23" t="s">
        <v>79</v>
      </c>
      <c r="F30" s="23" t="s">
        <v>47</v>
      </c>
    </row>
    <row r="31" spans="1:16" x14ac:dyDescent="0.2">
      <c r="A31" s="86" t="s">
        <v>115</v>
      </c>
      <c r="B31" s="20">
        <v>100</v>
      </c>
      <c r="C31" s="20">
        <v>100</v>
      </c>
      <c r="D31" s="20">
        <v>100</v>
      </c>
      <c r="E31" s="20">
        <v>100</v>
      </c>
      <c r="F31" s="25">
        <f>AVERAGE(B31:E31)</f>
        <v>100</v>
      </c>
      <c r="H31" s="85">
        <v>2</v>
      </c>
    </row>
    <row r="32" spans="1:16" x14ac:dyDescent="0.2">
      <c r="A32" s="86" t="s">
        <v>116</v>
      </c>
      <c r="B32" s="20">
        <v>100</v>
      </c>
      <c r="C32" s="20">
        <v>100</v>
      </c>
      <c r="D32" s="20">
        <f>19/20*100</f>
        <v>95</v>
      </c>
      <c r="E32" s="20">
        <v>100</v>
      </c>
      <c r="F32" s="25">
        <f t="shared" ref="F32:F52" si="12">AVERAGE(B32:E32)</f>
        <v>98.75</v>
      </c>
      <c r="H32" s="85">
        <v>3</v>
      </c>
    </row>
    <row r="33" spans="1:8" x14ac:dyDescent="0.2">
      <c r="A33" s="86" t="s">
        <v>117</v>
      </c>
      <c r="B33" s="20">
        <v>100</v>
      </c>
      <c r="C33" s="20">
        <v>100</v>
      </c>
      <c r="D33" s="20">
        <v>100</v>
      </c>
      <c r="E33" s="20">
        <v>100</v>
      </c>
      <c r="F33" s="25">
        <f t="shared" si="12"/>
        <v>100</v>
      </c>
      <c r="H33" s="85">
        <v>3</v>
      </c>
    </row>
    <row r="34" spans="1:8" x14ac:dyDescent="0.2">
      <c r="A34" s="86" t="s">
        <v>118</v>
      </c>
      <c r="B34" s="20">
        <v>100</v>
      </c>
      <c r="C34" s="20">
        <v>100</v>
      </c>
      <c r="D34" s="20">
        <v>100</v>
      </c>
      <c r="E34" s="20">
        <v>100</v>
      </c>
      <c r="F34" s="25">
        <f t="shared" si="12"/>
        <v>100</v>
      </c>
      <c r="H34" s="85">
        <v>2</v>
      </c>
    </row>
    <row r="35" spans="1:8" x14ac:dyDescent="0.2">
      <c r="A35" s="86" t="s">
        <v>119</v>
      </c>
      <c r="B35" s="20">
        <v>100</v>
      </c>
      <c r="C35" s="20">
        <v>100</v>
      </c>
      <c r="D35" s="20">
        <v>100</v>
      </c>
      <c r="E35" s="20">
        <v>100</v>
      </c>
      <c r="F35" s="25">
        <f t="shared" si="12"/>
        <v>100</v>
      </c>
      <c r="H35" s="85">
        <v>2</v>
      </c>
    </row>
    <row r="36" spans="1:8" x14ac:dyDescent="0.2">
      <c r="A36" s="86" t="s">
        <v>107</v>
      </c>
      <c r="B36" s="20">
        <v>100</v>
      </c>
      <c r="C36" s="20">
        <v>100</v>
      </c>
      <c r="D36" s="20">
        <v>100</v>
      </c>
      <c r="E36" s="20">
        <v>100</v>
      </c>
      <c r="F36" s="25">
        <f t="shared" si="12"/>
        <v>100</v>
      </c>
      <c r="H36" s="85">
        <v>1</v>
      </c>
    </row>
    <row r="37" spans="1:8" x14ac:dyDescent="0.2">
      <c r="A37" s="86" t="s">
        <v>135</v>
      </c>
      <c r="B37" s="20">
        <v>0</v>
      </c>
      <c r="C37" s="20">
        <f>0/20*100</f>
        <v>0</v>
      </c>
      <c r="D37" s="20">
        <f>0/20*100</f>
        <v>0</v>
      </c>
      <c r="E37" s="20">
        <f>0/20*100</f>
        <v>0</v>
      </c>
      <c r="F37" s="25">
        <f t="shared" si="12"/>
        <v>0</v>
      </c>
      <c r="H37" s="85">
        <v>4</v>
      </c>
    </row>
    <row r="38" spans="1:8" x14ac:dyDescent="0.2">
      <c r="A38" s="86" t="s">
        <v>120</v>
      </c>
      <c r="B38" s="20">
        <v>100</v>
      </c>
      <c r="C38" s="20">
        <v>100</v>
      </c>
      <c r="D38" s="20">
        <v>100</v>
      </c>
      <c r="E38" s="20">
        <v>100</v>
      </c>
      <c r="F38" s="25">
        <f t="shared" si="12"/>
        <v>100</v>
      </c>
      <c r="H38" s="85">
        <v>1</v>
      </c>
    </row>
    <row r="39" spans="1:8" x14ac:dyDescent="0.2">
      <c r="A39" s="86" t="s">
        <v>109</v>
      </c>
      <c r="B39" s="20">
        <v>0</v>
      </c>
      <c r="C39" s="20">
        <v>0</v>
      </c>
      <c r="D39" s="20">
        <f>10/20*100</f>
        <v>50</v>
      </c>
      <c r="E39" s="20">
        <f>10/20*100</f>
        <v>50</v>
      </c>
      <c r="F39" s="25">
        <f t="shared" si="12"/>
        <v>25</v>
      </c>
      <c r="H39" s="85">
        <v>4</v>
      </c>
    </row>
    <row r="40" spans="1:8" x14ac:dyDescent="0.2">
      <c r="A40" s="86" t="s">
        <v>121</v>
      </c>
      <c r="B40" s="20">
        <v>100</v>
      </c>
      <c r="C40" s="20">
        <v>100</v>
      </c>
      <c r="D40" s="20">
        <v>100</v>
      </c>
      <c r="E40" s="20">
        <v>100</v>
      </c>
      <c r="F40" s="25">
        <f t="shared" si="12"/>
        <v>100</v>
      </c>
      <c r="H40" s="85">
        <v>4</v>
      </c>
    </row>
    <row r="41" spans="1:8" x14ac:dyDescent="0.2">
      <c r="A41" s="86" t="s">
        <v>122</v>
      </c>
      <c r="B41" s="20">
        <v>100</v>
      </c>
      <c r="C41" s="20">
        <v>100</v>
      </c>
      <c r="D41" s="20">
        <f>17/20*100</f>
        <v>85</v>
      </c>
      <c r="E41" s="20">
        <v>100</v>
      </c>
      <c r="F41" s="25">
        <f t="shared" si="12"/>
        <v>96.25</v>
      </c>
      <c r="H41" s="85">
        <v>3</v>
      </c>
    </row>
    <row r="42" spans="1:8" x14ac:dyDescent="0.2">
      <c r="A42" s="86" t="s">
        <v>123</v>
      </c>
      <c r="B42" s="20">
        <v>100</v>
      </c>
      <c r="C42" s="20">
        <v>100</v>
      </c>
      <c r="D42" s="20">
        <v>100</v>
      </c>
      <c r="E42" s="20">
        <v>100</v>
      </c>
      <c r="F42" s="25">
        <f t="shared" si="12"/>
        <v>100</v>
      </c>
      <c r="H42" s="85">
        <v>5</v>
      </c>
    </row>
    <row r="43" spans="1:8" x14ac:dyDescent="0.2">
      <c r="A43" s="86" t="s">
        <v>124</v>
      </c>
      <c r="B43" s="20">
        <v>100</v>
      </c>
      <c r="C43" s="20">
        <v>100</v>
      </c>
      <c r="D43" s="20">
        <v>100</v>
      </c>
      <c r="E43" s="20">
        <v>100</v>
      </c>
      <c r="F43" s="25">
        <f t="shared" si="12"/>
        <v>100</v>
      </c>
      <c r="H43" s="85">
        <v>5</v>
      </c>
    </row>
    <row r="44" spans="1:8" x14ac:dyDescent="0.2">
      <c r="A44" s="86" t="s">
        <v>110</v>
      </c>
      <c r="B44" s="20">
        <v>100</v>
      </c>
      <c r="C44" s="20">
        <v>100</v>
      </c>
      <c r="D44" s="20">
        <v>100</v>
      </c>
      <c r="E44" s="20">
        <v>100</v>
      </c>
      <c r="F44" s="25">
        <f t="shared" si="12"/>
        <v>100</v>
      </c>
      <c r="H44" s="85">
        <v>2</v>
      </c>
    </row>
    <row r="45" spans="1:8" x14ac:dyDescent="0.2">
      <c r="A45" s="86" t="s">
        <v>125</v>
      </c>
      <c r="B45" s="20">
        <v>100</v>
      </c>
      <c r="C45" s="20">
        <v>100</v>
      </c>
      <c r="D45" s="20">
        <v>100</v>
      </c>
      <c r="E45" s="20">
        <v>100</v>
      </c>
      <c r="F45" s="25">
        <f t="shared" si="12"/>
        <v>100</v>
      </c>
      <c r="H45" s="85">
        <v>1</v>
      </c>
    </row>
    <row r="46" spans="1:8" x14ac:dyDescent="0.2">
      <c r="A46" s="86" t="s">
        <v>111</v>
      </c>
      <c r="B46" s="20">
        <v>100</v>
      </c>
      <c r="C46" s="20">
        <v>100</v>
      </c>
      <c r="D46" s="20">
        <v>100</v>
      </c>
      <c r="E46" s="20">
        <v>100</v>
      </c>
      <c r="F46" s="25">
        <f t="shared" si="12"/>
        <v>100</v>
      </c>
      <c r="H46" s="85">
        <v>1</v>
      </c>
    </row>
    <row r="47" spans="1:8" x14ac:dyDescent="0.2">
      <c r="A47" s="86" t="s">
        <v>126</v>
      </c>
      <c r="B47" s="20">
        <v>100</v>
      </c>
      <c r="C47" s="20">
        <v>100</v>
      </c>
      <c r="D47" s="20">
        <v>100</v>
      </c>
      <c r="E47" s="20">
        <v>100</v>
      </c>
      <c r="F47" s="25">
        <f t="shared" si="12"/>
        <v>100</v>
      </c>
      <c r="H47" s="85">
        <v>3</v>
      </c>
    </row>
    <row r="48" spans="1:8" x14ac:dyDescent="0.2">
      <c r="A48" s="86" t="s">
        <v>112</v>
      </c>
      <c r="B48" s="20">
        <v>100</v>
      </c>
      <c r="C48" s="20">
        <v>100</v>
      </c>
      <c r="D48" s="20">
        <v>100</v>
      </c>
      <c r="E48" s="20">
        <v>100</v>
      </c>
      <c r="F48" s="25">
        <f t="shared" si="12"/>
        <v>100</v>
      </c>
      <c r="H48" s="85">
        <v>1</v>
      </c>
    </row>
    <row r="49" spans="1:8" x14ac:dyDescent="0.2">
      <c r="A49" s="86" t="s">
        <v>127</v>
      </c>
      <c r="B49" s="20">
        <v>100</v>
      </c>
      <c r="C49" s="20">
        <v>100</v>
      </c>
      <c r="D49" s="20">
        <v>100</v>
      </c>
      <c r="E49" s="20">
        <v>100</v>
      </c>
      <c r="F49" s="25">
        <f t="shared" si="12"/>
        <v>100</v>
      </c>
      <c r="H49" s="85">
        <v>4</v>
      </c>
    </row>
    <row r="50" spans="1:8" x14ac:dyDescent="0.2">
      <c r="A50" s="86" t="s">
        <v>128</v>
      </c>
      <c r="B50" s="20">
        <v>100</v>
      </c>
      <c r="C50" s="20">
        <v>100</v>
      </c>
      <c r="D50" s="20">
        <v>100</v>
      </c>
      <c r="E50" s="20">
        <v>100</v>
      </c>
      <c r="F50" s="25">
        <f t="shared" si="12"/>
        <v>100</v>
      </c>
      <c r="H50" s="85">
        <v>4</v>
      </c>
    </row>
    <row r="51" spans="1:8" x14ac:dyDescent="0.2">
      <c r="A51" s="86" t="s">
        <v>113</v>
      </c>
      <c r="B51" s="20">
        <v>100</v>
      </c>
      <c r="C51" s="20">
        <v>100</v>
      </c>
      <c r="D51" s="20">
        <v>100</v>
      </c>
      <c r="E51" s="20">
        <v>100</v>
      </c>
      <c r="F51" s="25">
        <f t="shared" si="12"/>
        <v>100</v>
      </c>
      <c r="H51" s="85">
        <v>5</v>
      </c>
    </row>
    <row r="52" spans="1:8" x14ac:dyDescent="0.2">
      <c r="A52" s="86" t="s">
        <v>114</v>
      </c>
      <c r="B52" s="20">
        <v>100</v>
      </c>
      <c r="C52" s="20">
        <v>100</v>
      </c>
      <c r="D52" s="20">
        <v>100</v>
      </c>
      <c r="E52" s="20">
        <v>100</v>
      </c>
      <c r="F52" s="25">
        <f t="shared" si="12"/>
        <v>100</v>
      </c>
      <c r="H52" s="85">
        <v>2</v>
      </c>
    </row>
    <row r="53" spans="1:8" x14ac:dyDescent="0.2">
      <c r="A53" s="86" t="s">
        <v>106</v>
      </c>
      <c r="B53" s="20">
        <v>100</v>
      </c>
      <c r="C53" s="20">
        <v>100</v>
      </c>
      <c r="D53" s="20">
        <v>100</v>
      </c>
      <c r="E53" s="20">
        <v>100</v>
      </c>
      <c r="F53" s="25">
        <f t="shared" ref="F53:F54" si="13">AVERAGE(B53:E53)</f>
        <v>100</v>
      </c>
      <c r="H53" s="85">
        <v>3</v>
      </c>
    </row>
    <row r="54" spans="1:8" x14ac:dyDescent="0.2">
      <c r="A54" s="86" t="s">
        <v>108</v>
      </c>
      <c r="B54" s="20">
        <v>100</v>
      </c>
      <c r="C54" s="20">
        <v>100</v>
      </c>
      <c r="D54" s="20">
        <v>100</v>
      </c>
      <c r="E54" s="20">
        <v>100</v>
      </c>
      <c r="F54" s="25">
        <f t="shared" si="13"/>
        <v>100</v>
      </c>
      <c r="H54" s="85">
        <v>5</v>
      </c>
    </row>
    <row r="55" spans="1:8" x14ac:dyDescent="0.2">
      <c r="A55" s="71"/>
      <c r="B55" s="70"/>
      <c r="C55" s="70"/>
      <c r="D55" s="70"/>
      <c r="E55" s="70"/>
      <c r="F55" s="70"/>
      <c r="H55" s="85"/>
    </row>
    <row r="56" spans="1:8" x14ac:dyDescent="0.2">
      <c r="B56" s="119" t="s">
        <v>134</v>
      </c>
      <c r="C56" s="119"/>
      <c r="D56" s="119"/>
      <c r="E56" s="119"/>
      <c r="F56" s="119"/>
    </row>
    <row r="57" spans="1:8" x14ac:dyDescent="0.2">
      <c r="B57" s="40">
        <v>43620</v>
      </c>
      <c r="C57" s="40">
        <v>43623</v>
      </c>
      <c r="D57" s="40">
        <v>43627</v>
      </c>
      <c r="E57" s="40">
        <v>43630</v>
      </c>
      <c r="F57" s="23" t="s">
        <v>47</v>
      </c>
    </row>
    <row r="58" spans="1:8" x14ac:dyDescent="0.2">
      <c r="A58" s="86" t="s">
        <v>115</v>
      </c>
      <c r="B58" s="20">
        <v>1</v>
      </c>
      <c r="C58" s="20">
        <v>1</v>
      </c>
      <c r="D58" s="20">
        <v>1</v>
      </c>
      <c r="E58" s="20">
        <v>1</v>
      </c>
      <c r="F58" s="25">
        <f>AVERAGE(B58:E58)*100</f>
        <v>100</v>
      </c>
      <c r="H58" s="85">
        <v>2</v>
      </c>
    </row>
    <row r="59" spans="1:8" x14ac:dyDescent="0.2">
      <c r="A59" s="86" t="s">
        <v>116</v>
      </c>
      <c r="B59" s="20">
        <v>1</v>
      </c>
      <c r="C59" s="20">
        <v>1</v>
      </c>
      <c r="D59" s="20">
        <v>1</v>
      </c>
      <c r="E59" s="20">
        <v>1</v>
      </c>
      <c r="F59" s="25">
        <f t="shared" ref="F59:F79" si="14">AVERAGE(B59:E59)*100</f>
        <v>100</v>
      </c>
      <c r="H59" s="85">
        <v>3</v>
      </c>
    </row>
    <row r="60" spans="1:8" x14ac:dyDescent="0.2">
      <c r="A60" s="86" t="s">
        <v>117</v>
      </c>
      <c r="B60" s="20">
        <v>1</v>
      </c>
      <c r="C60" s="20">
        <v>1</v>
      </c>
      <c r="D60" s="20">
        <v>1</v>
      </c>
      <c r="E60" s="20">
        <v>1</v>
      </c>
      <c r="F60" s="25">
        <f t="shared" si="14"/>
        <v>100</v>
      </c>
      <c r="H60" s="85">
        <v>3</v>
      </c>
    </row>
    <row r="61" spans="1:8" x14ac:dyDescent="0.2">
      <c r="A61" s="86" t="s">
        <v>118</v>
      </c>
      <c r="B61" s="20">
        <v>1</v>
      </c>
      <c r="C61" s="20">
        <v>1</v>
      </c>
      <c r="D61" s="20">
        <v>0</v>
      </c>
      <c r="E61" s="20">
        <v>1</v>
      </c>
      <c r="F61" s="25">
        <f t="shared" si="14"/>
        <v>75</v>
      </c>
      <c r="H61" s="85">
        <v>2</v>
      </c>
    </row>
    <row r="62" spans="1:8" x14ac:dyDescent="0.2">
      <c r="A62" s="86" t="s">
        <v>119</v>
      </c>
      <c r="B62" s="20">
        <v>1</v>
      </c>
      <c r="C62" s="20">
        <v>1</v>
      </c>
      <c r="D62" s="20">
        <v>1</v>
      </c>
      <c r="E62" s="20">
        <v>1</v>
      </c>
      <c r="F62" s="25">
        <f t="shared" si="14"/>
        <v>100</v>
      </c>
      <c r="H62" s="85">
        <v>2</v>
      </c>
    </row>
    <row r="63" spans="1:8" x14ac:dyDescent="0.2">
      <c r="A63" s="86" t="s">
        <v>107</v>
      </c>
      <c r="B63" s="20">
        <v>1</v>
      </c>
      <c r="C63" s="20">
        <v>1</v>
      </c>
      <c r="D63" s="20">
        <v>1</v>
      </c>
      <c r="E63" s="20">
        <v>1</v>
      </c>
      <c r="F63" s="25">
        <f t="shared" si="14"/>
        <v>100</v>
      </c>
      <c r="H63" s="85">
        <v>1</v>
      </c>
    </row>
    <row r="64" spans="1:8" x14ac:dyDescent="0.2">
      <c r="A64" s="86" t="s">
        <v>135</v>
      </c>
      <c r="B64" s="20">
        <v>1</v>
      </c>
      <c r="C64" s="20">
        <v>1</v>
      </c>
      <c r="D64" s="20">
        <v>0</v>
      </c>
      <c r="E64" s="20">
        <v>1</v>
      </c>
      <c r="F64" s="25">
        <f t="shared" si="14"/>
        <v>75</v>
      </c>
      <c r="H64" s="85">
        <v>4</v>
      </c>
    </row>
    <row r="65" spans="1:8" x14ac:dyDescent="0.2">
      <c r="A65" s="86" t="s">
        <v>120</v>
      </c>
      <c r="B65" s="20">
        <v>1</v>
      </c>
      <c r="C65" s="20">
        <v>1</v>
      </c>
      <c r="D65" s="20">
        <v>1</v>
      </c>
      <c r="E65" s="20">
        <v>1</v>
      </c>
      <c r="F65" s="25">
        <f t="shared" si="14"/>
        <v>100</v>
      </c>
      <c r="H65" s="85">
        <v>1</v>
      </c>
    </row>
    <row r="66" spans="1:8" x14ac:dyDescent="0.2">
      <c r="A66" s="86" t="s">
        <v>109</v>
      </c>
      <c r="B66" s="20">
        <v>0</v>
      </c>
      <c r="C66" s="20">
        <v>0</v>
      </c>
      <c r="D66" s="20">
        <v>0</v>
      </c>
      <c r="E66" s="20">
        <v>0</v>
      </c>
      <c r="F66" s="25">
        <f t="shared" si="14"/>
        <v>0</v>
      </c>
      <c r="H66" s="85">
        <v>4</v>
      </c>
    </row>
    <row r="67" spans="1:8" x14ac:dyDescent="0.2">
      <c r="A67" s="86" t="s">
        <v>121</v>
      </c>
      <c r="B67" s="20">
        <v>1</v>
      </c>
      <c r="C67" s="20">
        <v>1</v>
      </c>
      <c r="D67" s="20">
        <v>1</v>
      </c>
      <c r="E67" s="20">
        <v>1</v>
      </c>
      <c r="F67" s="25">
        <f t="shared" si="14"/>
        <v>100</v>
      </c>
      <c r="H67" s="85">
        <v>4</v>
      </c>
    </row>
    <row r="68" spans="1:8" x14ac:dyDescent="0.2">
      <c r="A68" s="86" t="s">
        <v>122</v>
      </c>
      <c r="B68" s="20">
        <v>1</v>
      </c>
      <c r="C68" s="20">
        <v>1</v>
      </c>
      <c r="D68" s="20">
        <v>1</v>
      </c>
      <c r="E68" s="20">
        <v>1</v>
      </c>
      <c r="F68" s="25">
        <f t="shared" si="14"/>
        <v>100</v>
      </c>
      <c r="H68" s="85">
        <v>3</v>
      </c>
    </row>
    <row r="69" spans="1:8" x14ac:dyDescent="0.2">
      <c r="A69" s="86" t="s">
        <v>123</v>
      </c>
      <c r="B69" s="20">
        <v>1</v>
      </c>
      <c r="C69" s="20">
        <v>1</v>
      </c>
      <c r="D69" s="20">
        <v>1</v>
      </c>
      <c r="E69" s="20">
        <v>1</v>
      </c>
      <c r="F69" s="25">
        <f t="shared" si="14"/>
        <v>100</v>
      </c>
      <c r="H69" s="85">
        <v>5</v>
      </c>
    </row>
    <row r="70" spans="1:8" x14ac:dyDescent="0.2">
      <c r="A70" s="86" t="s">
        <v>124</v>
      </c>
      <c r="B70" s="20">
        <v>1</v>
      </c>
      <c r="C70" s="20">
        <v>1</v>
      </c>
      <c r="D70" s="20">
        <v>1</v>
      </c>
      <c r="E70" s="20">
        <v>1</v>
      </c>
      <c r="F70" s="25">
        <f t="shared" si="14"/>
        <v>100</v>
      </c>
      <c r="H70" s="85">
        <v>5</v>
      </c>
    </row>
    <row r="71" spans="1:8" x14ac:dyDescent="0.2">
      <c r="A71" s="86" t="s">
        <v>110</v>
      </c>
      <c r="B71" s="20">
        <v>1</v>
      </c>
      <c r="C71" s="20">
        <v>1</v>
      </c>
      <c r="D71" s="20">
        <v>1</v>
      </c>
      <c r="E71" s="20">
        <v>1</v>
      </c>
      <c r="F71" s="25">
        <f t="shared" si="14"/>
        <v>100</v>
      </c>
      <c r="H71" s="85">
        <v>2</v>
      </c>
    </row>
    <row r="72" spans="1:8" x14ac:dyDescent="0.2">
      <c r="A72" s="86" t="s">
        <v>125</v>
      </c>
      <c r="B72" s="20">
        <v>1</v>
      </c>
      <c r="C72" s="20">
        <v>1</v>
      </c>
      <c r="D72" s="20">
        <v>1</v>
      </c>
      <c r="E72" s="20">
        <v>1</v>
      </c>
      <c r="F72" s="25">
        <f t="shared" si="14"/>
        <v>100</v>
      </c>
      <c r="H72" s="85">
        <v>1</v>
      </c>
    </row>
    <row r="73" spans="1:8" x14ac:dyDescent="0.2">
      <c r="A73" s="86" t="s">
        <v>111</v>
      </c>
      <c r="B73" s="20">
        <v>1</v>
      </c>
      <c r="C73" s="20">
        <v>1</v>
      </c>
      <c r="D73" s="20">
        <v>1</v>
      </c>
      <c r="E73" s="20">
        <v>1</v>
      </c>
      <c r="F73" s="25">
        <f t="shared" si="14"/>
        <v>100</v>
      </c>
      <c r="H73" s="85">
        <v>1</v>
      </c>
    </row>
    <row r="74" spans="1:8" x14ac:dyDescent="0.2">
      <c r="A74" s="86" t="s">
        <v>126</v>
      </c>
      <c r="B74" s="20">
        <v>1</v>
      </c>
      <c r="C74" s="20">
        <v>1</v>
      </c>
      <c r="D74" s="20">
        <v>1</v>
      </c>
      <c r="E74" s="20">
        <v>1</v>
      </c>
      <c r="F74" s="25">
        <f t="shared" si="14"/>
        <v>100</v>
      </c>
      <c r="H74" s="85">
        <v>3</v>
      </c>
    </row>
    <row r="75" spans="1:8" x14ac:dyDescent="0.2">
      <c r="A75" s="86" t="s">
        <v>112</v>
      </c>
      <c r="B75" s="20">
        <v>1</v>
      </c>
      <c r="C75" s="20">
        <v>1</v>
      </c>
      <c r="D75" s="20">
        <v>1</v>
      </c>
      <c r="E75" s="20">
        <v>1</v>
      </c>
      <c r="F75" s="25">
        <f t="shared" si="14"/>
        <v>100</v>
      </c>
      <c r="H75" s="85">
        <v>1</v>
      </c>
    </row>
    <row r="76" spans="1:8" x14ac:dyDescent="0.2">
      <c r="A76" s="86" t="s">
        <v>127</v>
      </c>
      <c r="B76" s="20">
        <v>1</v>
      </c>
      <c r="C76" s="20">
        <v>1</v>
      </c>
      <c r="D76" s="20">
        <v>1</v>
      </c>
      <c r="E76" s="20">
        <v>1</v>
      </c>
      <c r="F76" s="25">
        <f t="shared" si="14"/>
        <v>100</v>
      </c>
      <c r="H76" s="85">
        <v>4</v>
      </c>
    </row>
    <row r="77" spans="1:8" x14ac:dyDescent="0.2">
      <c r="A77" s="86" t="s">
        <v>128</v>
      </c>
      <c r="B77" s="20">
        <v>1</v>
      </c>
      <c r="C77" s="20">
        <v>1</v>
      </c>
      <c r="D77" s="20">
        <v>1</v>
      </c>
      <c r="E77" s="20">
        <v>1</v>
      </c>
      <c r="F77" s="25">
        <f t="shared" si="14"/>
        <v>100</v>
      </c>
      <c r="H77" s="85">
        <v>4</v>
      </c>
    </row>
    <row r="78" spans="1:8" x14ac:dyDescent="0.2">
      <c r="A78" s="86" t="s">
        <v>113</v>
      </c>
      <c r="B78" s="20">
        <v>1</v>
      </c>
      <c r="C78" s="20">
        <v>1</v>
      </c>
      <c r="D78" s="20">
        <v>1</v>
      </c>
      <c r="E78" s="20">
        <v>1</v>
      </c>
      <c r="F78" s="25">
        <f t="shared" si="14"/>
        <v>100</v>
      </c>
      <c r="H78" s="85">
        <v>5</v>
      </c>
    </row>
    <row r="79" spans="1:8" x14ac:dyDescent="0.2">
      <c r="A79" s="86" t="s">
        <v>114</v>
      </c>
      <c r="B79" s="20">
        <v>1</v>
      </c>
      <c r="C79" s="20">
        <v>1</v>
      </c>
      <c r="D79" s="20">
        <v>1</v>
      </c>
      <c r="E79" s="20">
        <v>1</v>
      </c>
      <c r="F79" s="25">
        <f t="shared" si="14"/>
        <v>100</v>
      </c>
      <c r="H79" s="85">
        <v>2</v>
      </c>
    </row>
    <row r="80" spans="1:8" x14ac:dyDescent="0.2">
      <c r="A80" s="86" t="s">
        <v>106</v>
      </c>
      <c r="B80" s="20">
        <v>1</v>
      </c>
      <c r="C80" s="20">
        <v>1</v>
      </c>
      <c r="D80" s="20">
        <v>1</v>
      </c>
      <c r="E80" s="20">
        <v>1</v>
      </c>
      <c r="F80" s="25">
        <f t="shared" ref="F80:F81" si="15">AVERAGE(B80:E80)*100</f>
        <v>100</v>
      </c>
      <c r="H80" s="85">
        <v>3</v>
      </c>
    </row>
    <row r="81" spans="1:8" x14ac:dyDescent="0.2">
      <c r="A81" s="86" t="s">
        <v>108</v>
      </c>
      <c r="B81" s="20">
        <v>1</v>
      </c>
      <c r="C81" s="20">
        <v>1</v>
      </c>
      <c r="D81" s="20">
        <v>1</v>
      </c>
      <c r="E81" s="20">
        <v>0</v>
      </c>
      <c r="F81" s="25">
        <f t="shared" si="15"/>
        <v>75</v>
      </c>
      <c r="H81" s="85">
        <v>5</v>
      </c>
    </row>
    <row r="82" spans="1:8" x14ac:dyDescent="0.2">
      <c r="H82" s="85"/>
    </row>
  </sheetData>
  <sheetProtection selectLockedCells="1" selectUnlockedCells="1"/>
  <mergeCells count="3">
    <mergeCell ref="A1:K1"/>
    <mergeCell ref="B56:F56"/>
    <mergeCell ref="B29:F29"/>
  </mergeCells>
  <pageMargins left="0.19652777777777777" right="0.19652777777777777" top="0.19652777777777777" bottom="0.19652777777777777" header="0.51180555555555551" footer="0.51180555555555551"/>
  <pageSetup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pane xSplit="1" ySplit="3" topLeftCell="B4" activePane="bottomRight" state="frozen"/>
      <selection pane="topRight" activeCell="C1" sqref="C1"/>
      <selection pane="bottomLeft" activeCell="A9" sqref="A9"/>
      <selection pane="bottomRight" activeCell="G17" sqref="G17"/>
    </sheetView>
  </sheetViews>
  <sheetFormatPr baseColWidth="10" defaultColWidth="11.42578125" defaultRowHeight="12.75" x14ac:dyDescent="0.2"/>
  <cols>
    <col min="1" max="1" width="7.7109375" style="8" customWidth="1"/>
    <col min="2" max="8" width="10.7109375" style="8" customWidth="1"/>
    <col min="9" max="11" width="15.7109375" style="8" customWidth="1"/>
    <col min="12" max="13" width="15.5703125" style="8" customWidth="1"/>
    <col min="14" max="14" width="10.5703125" style="8" customWidth="1"/>
    <col min="15" max="16384" width="11.42578125" style="8"/>
  </cols>
  <sheetData>
    <row r="1" spans="1:16" ht="15.75" x14ac:dyDescent="0.25">
      <c r="A1" s="118" t="s">
        <v>51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6" x14ac:dyDescent="0.2">
      <c r="A2" s="9"/>
      <c r="B2" s="17"/>
      <c r="C2" s="18"/>
      <c r="D2" s="18"/>
      <c r="E2" s="18"/>
      <c r="F2" s="18"/>
      <c r="G2" s="18"/>
      <c r="H2" s="18"/>
      <c r="I2" s="18"/>
      <c r="J2" s="10"/>
      <c r="K2" s="10"/>
    </row>
    <row r="3" spans="1:16" x14ac:dyDescent="0.2">
      <c r="A3" s="19" t="s">
        <v>1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 t="s">
        <v>39</v>
      </c>
      <c r="J3" s="19" t="s">
        <v>41</v>
      </c>
      <c r="K3" s="19" t="s">
        <v>42</v>
      </c>
      <c r="L3" s="19" t="s">
        <v>85</v>
      </c>
      <c r="M3" s="69" t="s">
        <v>86</v>
      </c>
    </row>
    <row r="4" spans="1:16" x14ac:dyDescent="0.2">
      <c r="A4" s="86" t="s">
        <v>115</v>
      </c>
      <c r="B4" s="20">
        <v>20</v>
      </c>
      <c r="C4" s="20">
        <v>10</v>
      </c>
      <c r="D4" s="20">
        <v>10</v>
      </c>
      <c r="E4" s="20">
        <v>27</v>
      </c>
      <c r="F4" s="20">
        <f>P4*0.27</f>
        <v>25.650000000000002</v>
      </c>
      <c r="G4" s="20">
        <v>3</v>
      </c>
      <c r="H4" s="20">
        <f>F58*0.03</f>
        <v>3</v>
      </c>
      <c r="I4" s="21">
        <f>B4+C4+D4+E4+F4+G4+H4</f>
        <v>98.65</v>
      </c>
      <c r="J4" s="21">
        <f t="shared" ref="J4" si="0">(C4+E4+F4+H4)</f>
        <v>65.650000000000006</v>
      </c>
      <c r="K4" s="21">
        <f>(B4+D4+G4)</f>
        <v>33</v>
      </c>
      <c r="L4" s="21">
        <f>F31</f>
        <v>100</v>
      </c>
      <c r="M4" s="50">
        <f>AVERAGE(L4,I4)</f>
        <v>99.325000000000003</v>
      </c>
      <c r="O4" s="85">
        <v>2</v>
      </c>
      <c r="P4" s="20">
        <v>95</v>
      </c>
    </row>
    <row r="5" spans="1:16" x14ac:dyDescent="0.2">
      <c r="A5" s="86" t="s">
        <v>116</v>
      </c>
      <c r="B5" s="20">
        <v>10</v>
      </c>
      <c r="C5" s="20">
        <v>10</v>
      </c>
      <c r="D5" s="20">
        <v>10</v>
      </c>
      <c r="E5" s="20">
        <f>50*27/100</f>
        <v>13.5</v>
      </c>
      <c r="F5" s="20">
        <f t="shared" ref="F5:F27" si="1">P5*0.27</f>
        <v>25.650000000000002</v>
      </c>
      <c r="G5" s="20">
        <v>3</v>
      </c>
      <c r="H5" s="20">
        <f t="shared" ref="H5:H27" si="2">F59*0.03</f>
        <v>3</v>
      </c>
      <c r="I5" s="21">
        <f t="shared" ref="I5:I27" si="3">B5+C5+D5+E5+F5+G5+H5</f>
        <v>75.150000000000006</v>
      </c>
      <c r="J5" s="21">
        <f t="shared" ref="J5:J27" si="4">(C5+E5+F5+H5)</f>
        <v>52.150000000000006</v>
      </c>
      <c r="K5" s="21">
        <f t="shared" ref="K5:K27" si="5">(B5+D5+G5)</f>
        <v>23</v>
      </c>
      <c r="L5" s="21">
        <f t="shared" ref="L5:L27" si="6">F32</f>
        <v>98.75</v>
      </c>
      <c r="M5" s="50">
        <f t="shared" ref="M5:M27" si="7">AVERAGE(L5,I5)</f>
        <v>86.95</v>
      </c>
      <c r="O5" s="85">
        <v>3</v>
      </c>
      <c r="P5" s="20">
        <v>95</v>
      </c>
    </row>
    <row r="6" spans="1:16" x14ac:dyDescent="0.2">
      <c r="A6" s="86" t="s">
        <v>117</v>
      </c>
      <c r="B6" s="20">
        <v>20</v>
      </c>
      <c r="C6" s="20">
        <v>10</v>
      </c>
      <c r="D6" s="20">
        <v>10</v>
      </c>
      <c r="E6" s="20">
        <f>50*27/100</f>
        <v>13.5</v>
      </c>
      <c r="F6" s="20">
        <f t="shared" si="1"/>
        <v>25.650000000000002</v>
      </c>
      <c r="G6" s="20">
        <v>3</v>
      </c>
      <c r="H6" s="20">
        <f t="shared" si="2"/>
        <v>2.25</v>
      </c>
      <c r="I6" s="21">
        <f t="shared" si="3"/>
        <v>84.4</v>
      </c>
      <c r="J6" s="21">
        <f t="shared" si="4"/>
        <v>51.400000000000006</v>
      </c>
      <c r="K6" s="21">
        <f t="shared" si="5"/>
        <v>33</v>
      </c>
      <c r="L6" s="21">
        <f t="shared" si="6"/>
        <v>100</v>
      </c>
      <c r="M6" s="50">
        <f t="shared" si="7"/>
        <v>92.2</v>
      </c>
      <c r="O6" s="85">
        <v>3</v>
      </c>
      <c r="P6" s="20">
        <v>95</v>
      </c>
    </row>
    <row r="7" spans="1:16" x14ac:dyDescent="0.2">
      <c r="A7" s="86" t="s">
        <v>118</v>
      </c>
      <c r="B7" s="20">
        <v>20</v>
      </c>
      <c r="C7" s="20">
        <v>10</v>
      </c>
      <c r="D7" s="20">
        <v>10</v>
      </c>
      <c r="E7" s="20">
        <v>27</v>
      </c>
      <c r="F7" s="20">
        <f t="shared" si="1"/>
        <v>25.650000000000002</v>
      </c>
      <c r="G7" s="20">
        <v>3</v>
      </c>
      <c r="H7" s="20">
        <f t="shared" si="2"/>
        <v>3</v>
      </c>
      <c r="I7" s="21">
        <f t="shared" si="3"/>
        <v>98.65</v>
      </c>
      <c r="J7" s="21">
        <f t="shared" si="4"/>
        <v>65.650000000000006</v>
      </c>
      <c r="K7" s="21">
        <f t="shared" si="5"/>
        <v>33</v>
      </c>
      <c r="L7" s="21">
        <f t="shared" si="6"/>
        <v>100</v>
      </c>
      <c r="M7" s="50">
        <f t="shared" si="7"/>
        <v>99.325000000000003</v>
      </c>
      <c r="N7" s="31"/>
      <c r="O7" s="85">
        <v>2</v>
      </c>
      <c r="P7" s="20">
        <v>95</v>
      </c>
    </row>
    <row r="8" spans="1:16" x14ac:dyDescent="0.2">
      <c r="A8" s="86" t="s">
        <v>119</v>
      </c>
      <c r="B8" s="20">
        <v>10</v>
      </c>
      <c r="C8" s="20">
        <v>10</v>
      </c>
      <c r="D8" s="20">
        <v>10</v>
      </c>
      <c r="E8" s="20">
        <v>27</v>
      </c>
      <c r="F8" s="20">
        <f t="shared" si="1"/>
        <v>25.650000000000002</v>
      </c>
      <c r="G8" s="20">
        <v>3</v>
      </c>
      <c r="H8" s="20">
        <f t="shared" si="2"/>
        <v>2.25</v>
      </c>
      <c r="I8" s="21">
        <f t="shared" si="3"/>
        <v>87.9</v>
      </c>
      <c r="J8" s="21">
        <f t="shared" si="4"/>
        <v>64.900000000000006</v>
      </c>
      <c r="K8" s="21">
        <f t="shared" si="5"/>
        <v>23</v>
      </c>
      <c r="L8" s="21">
        <f t="shared" si="6"/>
        <v>56.25</v>
      </c>
      <c r="M8" s="50">
        <f t="shared" si="7"/>
        <v>72.075000000000003</v>
      </c>
      <c r="N8" s="31"/>
      <c r="O8" s="85">
        <v>2</v>
      </c>
      <c r="P8" s="20">
        <v>95</v>
      </c>
    </row>
    <row r="9" spans="1:16" x14ac:dyDescent="0.2">
      <c r="A9" s="86" t="s">
        <v>107</v>
      </c>
      <c r="B9" s="20">
        <v>10</v>
      </c>
      <c r="C9" s="20">
        <v>10</v>
      </c>
      <c r="D9" s="20">
        <v>10</v>
      </c>
      <c r="E9" s="20">
        <f>50*27/100</f>
        <v>13.5</v>
      </c>
      <c r="F9" s="20">
        <f t="shared" si="1"/>
        <v>25.110000000000003</v>
      </c>
      <c r="G9" s="20">
        <v>3</v>
      </c>
      <c r="H9" s="20">
        <f t="shared" si="2"/>
        <v>3</v>
      </c>
      <c r="I9" s="21">
        <f t="shared" si="3"/>
        <v>74.61</v>
      </c>
      <c r="J9" s="21">
        <f t="shared" si="4"/>
        <v>51.61</v>
      </c>
      <c r="K9" s="21">
        <f t="shared" si="5"/>
        <v>23</v>
      </c>
      <c r="L9" s="21">
        <f t="shared" si="6"/>
        <v>100</v>
      </c>
      <c r="M9" s="50">
        <f t="shared" si="7"/>
        <v>87.305000000000007</v>
      </c>
      <c r="O9" s="85">
        <v>1</v>
      </c>
      <c r="P9" s="20">
        <v>93</v>
      </c>
    </row>
    <row r="10" spans="1:16" x14ac:dyDescent="0.2">
      <c r="A10" s="86" t="s">
        <v>135</v>
      </c>
      <c r="B10" s="20">
        <v>0</v>
      </c>
      <c r="C10" s="20">
        <v>0</v>
      </c>
      <c r="D10" s="20">
        <v>0</v>
      </c>
      <c r="E10" s="20">
        <v>27</v>
      </c>
      <c r="F10" s="20">
        <f t="shared" si="1"/>
        <v>23.490000000000002</v>
      </c>
      <c r="G10" s="20">
        <v>3</v>
      </c>
      <c r="H10" s="20">
        <f t="shared" si="2"/>
        <v>0</v>
      </c>
      <c r="I10" s="21">
        <f t="shared" si="3"/>
        <v>53.49</v>
      </c>
      <c r="J10" s="21">
        <f t="shared" si="4"/>
        <v>50.49</v>
      </c>
      <c r="K10" s="21">
        <f t="shared" si="5"/>
        <v>3</v>
      </c>
      <c r="L10" s="21">
        <f t="shared" si="6"/>
        <v>0</v>
      </c>
      <c r="M10" s="50">
        <f t="shared" si="7"/>
        <v>26.745000000000001</v>
      </c>
      <c r="N10" s="31"/>
      <c r="O10" s="85">
        <v>4</v>
      </c>
      <c r="P10" s="20">
        <v>87</v>
      </c>
    </row>
    <row r="11" spans="1:16" x14ac:dyDescent="0.2">
      <c r="A11" s="86" t="s">
        <v>120</v>
      </c>
      <c r="B11" s="20">
        <v>10</v>
      </c>
      <c r="C11" s="20">
        <v>10</v>
      </c>
      <c r="D11" s="20">
        <v>10</v>
      </c>
      <c r="E11" s="20">
        <f>50*27/100</f>
        <v>13.5</v>
      </c>
      <c r="F11" s="20">
        <f t="shared" si="1"/>
        <v>25.110000000000003</v>
      </c>
      <c r="G11" s="20">
        <v>3</v>
      </c>
      <c r="H11" s="20">
        <f t="shared" si="2"/>
        <v>3</v>
      </c>
      <c r="I11" s="21">
        <f t="shared" si="3"/>
        <v>74.61</v>
      </c>
      <c r="J11" s="21">
        <f t="shared" si="4"/>
        <v>51.61</v>
      </c>
      <c r="K11" s="21">
        <f t="shared" si="5"/>
        <v>23</v>
      </c>
      <c r="L11" s="21">
        <f t="shared" si="6"/>
        <v>100</v>
      </c>
      <c r="M11" s="50">
        <f t="shared" si="7"/>
        <v>87.305000000000007</v>
      </c>
      <c r="O11" s="85">
        <v>1</v>
      </c>
      <c r="P11" s="20">
        <v>93</v>
      </c>
    </row>
    <row r="12" spans="1:16" x14ac:dyDescent="0.2">
      <c r="A12" s="86" t="s">
        <v>109</v>
      </c>
      <c r="B12" s="20">
        <v>0</v>
      </c>
      <c r="C12" s="20">
        <v>0</v>
      </c>
      <c r="D12" s="20">
        <v>0</v>
      </c>
      <c r="E12" s="20">
        <v>27</v>
      </c>
      <c r="F12" s="20">
        <f t="shared" si="1"/>
        <v>23.490000000000002</v>
      </c>
      <c r="G12" s="20">
        <v>3</v>
      </c>
      <c r="H12" s="20">
        <f t="shared" si="2"/>
        <v>0</v>
      </c>
      <c r="I12" s="21">
        <f t="shared" si="3"/>
        <v>53.49</v>
      </c>
      <c r="J12" s="21">
        <f t="shared" si="4"/>
        <v>50.49</v>
      </c>
      <c r="K12" s="21">
        <f t="shared" si="5"/>
        <v>3</v>
      </c>
      <c r="L12" s="21">
        <f t="shared" si="6"/>
        <v>48.75</v>
      </c>
      <c r="M12" s="50">
        <f t="shared" si="7"/>
        <v>51.120000000000005</v>
      </c>
      <c r="O12" s="85">
        <v>4</v>
      </c>
      <c r="P12" s="20">
        <v>87</v>
      </c>
    </row>
    <row r="13" spans="1:16" x14ac:dyDescent="0.2">
      <c r="A13" s="86" t="s">
        <v>121</v>
      </c>
      <c r="B13" s="20">
        <v>20</v>
      </c>
      <c r="C13" s="20">
        <v>10</v>
      </c>
      <c r="D13" s="20">
        <v>10</v>
      </c>
      <c r="E13" s="20">
        <v>27</v>
      </c>
      <c r="F13" s="20">
        <f t="shared" si="1"/>
        <v>23.490000000000002</v>
      </c>
      <c r="G13" s="20">
        <v>3</v>
      </c>
      <c r="H13" s="20">
        <f t="shared" si="2"/>
        <v>3</v>
      </c>
      <c r="I13" s="21">
        <f t="shared" si="3"/>
        <v>96.490000000000009</v>
      </c>
      <c r="J13" s="21">
        <f t="shared" si="4"/>
        <v>63.49</v>
      </c>
      <c r="K13" s="21">
        <f t="shared" si="5"/>
        <v>33</v>
      </c>
      <c r="L13" s="21">
        <f t="shared" si="6"/>
        <v>100</v>
      </c>
      <c r="M13" s="50">
        <f t="shared" si="7"/>
        <v>98.245000000000005</v>
      </c>
      <c r="O13" s="85">
        <v>4</v>
      </c>
      <c r="P13" s="20">
        <v>87</v>
      </c>
    </row>
    <row r="14" spans="1:16" x14ac:dyDescent="0.2">
      <c r="A14" s="86" t="s">
        <v>122</v>
      </c>
      <c r="B14" s="20">
        <v>20</v>
      </c>
      <c r="C14" s="20">
        <v>10</v>
      </c>
      <c r="D14" s="20">
        <v>10</v>
      </c>
      <c r="E14" s="20">
        <f>50*27/100</f>
        <v>13.5</v>
      </c>
      <c r="F14" s="20">
        <f t="shared" si="1"/>
        <v>25.650000000000002</v>
      </c>
      <c r="G14" s="20">
        <v>3</v>
      </c>
      <c r="H14" s="20">
        <f t="shared" si="2"/>
        <v>2.25</v>
      </c>
      <c r="I14" s="21">
        <f t="shared" si="3"/>
        <v>84.4</v>
      </c>
      <c r="J14" s="21">
        <f t="shared" si="4"/>
        <v>51.400000000000006</v>
      </c>
      <c r="K14" s="21">
        <f t="shared" si="5"/>
        <v>33</v>
      </c>
      <c r="L14" s="21">
        <f t="shared" si="6"/>
        <v>100</v>
      </c>
      <c r="M14" s="50">
        <f t="shared" si="7"/>
        <v>92.2</v>
      </c>
      <c r="O14" s="85">
        <v>3</v>
      </c>
      <c r="P14" s="20">
        <v>95</v>
      </c>
    </row>
    <row r="15" spans="1:16" x14ac:dyDescent="0.2">
      <c r="A15" s="86" t="s">
        <v>123</v>
      </c>
      <c r="B15" s="20">
        <v>20</v>
      </c>
      <c r="C15" s="20">
        <v>10</v>
      </c>
      <c r="D15" s="20">
        <v>10</v>
      </c>
      <c r="E15" s="20">
        <v>27</v>
      </c>
      <c r="F15" s="20">
        <f t="shared" si="1"/>
        <v>27</v>
      </c>
      <c r="G15" s="20">
        <v>3</v>
      </c>
      <c r="H15" s="20">
        <f t="shared" si="2"/>
        <v>3</v>
      </c>
      <c r="I15" s="21">
        <f t="shared" si="3"/>
        <v>100</v>
      </c>
      <c r="J15" s="21">
        <f t="shared" si="4"/>
        <v>67</v>
      </c>
      <c r="K15" s="21">
        <f t="shared" si="5"/>
        <v>33</v>
      </c>
      <c r="L15" s="21">
        <f t="shared" si="6"/>
        <v>100</v>
      </c>
      <c r="M15" s="50">
        <f t="shared" si="7"/>
        <v>100</v>
      </c>
      <c r="O15" s="85">
        <v>5</v>
      </c>
      <c r="P15" s="20">
        <v>100</v>
      </c>
    </row>
    <row r="16" spans="1:16" x14ac:dyDescent="0.2">
      <c r="A16" s="86" t="s">
        <v>124</v>
      </c>
      <c r="B16" s="20">
        <v>20</v>
      </c>
      <c r="C16" s="20">
        <v>10</v>
      </c>
      <c r="D16" s="20">
        <v>10</v>
      </c>
      <c r="E16" s="20">
        <v>27</v>
      </c>
      <c r="F16" s="20">
        <f t="shared" si="1"/>
        <v>27</v>
      </c>
      <c r="G16" s="20">
        <v>3</v>
      </c>
      <c r="H16" s="20">
        <f t="shared" si="2"/>
        <v>3</v>
      </c>
      <c r="I16" s="21">
        <f t="shared" si="3"/>
        <v>100</v>
      </c>
      <c r="J16" s="21">
        <f t="shared" si="4"/>
        <v>67</v>
      </c>
      <c r="K16" s="21">
        <f t="shared" si="5"/>
        <v>33</v>
      </c>
      <c r="L16" s="21">
        <f t="shared" si="6"/>
        <v>100</v>
      </c>
      <c r="M16" s="50">
        <f t="shared" si="7"/>
        <v>100</v>
      </c>
      <c r="O16" s="85">
        <v>5</v>
      </c>
      <c r="P16" s="20">
        <v>100</v>
      </c>
    </row>
    <row r="17" spans="1:16" x14ac:dyDescent="0.2">
      <c r="A17" s="86" t="s">
        <v>110</v>
      </c>
      <c r="B17" s="20">
        <v>20</v>
      </c>
      <c r="C17" s="20">
        <v>10</v>
      </c>
      <c r="D17" s="20">
        <v>10</v>
      </c>
      <c r="E17" s="20">
        <v>27</v>
      </c>
      <c r="F17" s="20">
        <f t="shared" si="1"/>
        <v>25.650000000000002</v>
      </c>
      <c r="G17" s="20">
        <v>3</v>
      </c>
      <c r="H17" s="20">
        <f t="shared" si="2"/>
        <v>3</v>
      </c>
      <c r="I17" s="21">
        <f t="shared" si="3"/>
        <v>98.65</v>
      </c>
      <c r="J17" s="21">
        <f t="shared" si="4"/>
        <v>65.650000000000006</v>
      </c>
      <c r="K17" s="21">
        <f t="shared" si="5"/>
        <v>33</v>
      </c>
      <c r="L17" s="21">
        <f t="shared" si="6"/>
        <v>100</v>
      </c>
      <c r="M17" s="50">
        <f t="shared" si="7"/>
        <v>99.325000000000003</v>
      </c>
      <c r="N17" s="31"/>
      <c r="O17" s="85">
        <v>2</v>
      </c>
      <c r="P17" s="20">
        <v>95</v>
      </c>
    </row>
    <row r="18" spans="1:16" x14ac:dyDescent="0.2">
      <c r="A18" s="86" t="s">
        <v>125</v>
      </c>
      <c r="B18" s="20">
        <v>10</v>
      </c>
      <c r="C18" s="20">
        <v>10</v>
      </c>
      <c r="D18" s="20">
        <v>10</v>
      </c>
      <c r="E18" s="20">
        <f>50*27/100</f>
        <v>13.5</v>
      </c>
      <c r="F18" s="20">
        <f t="shared" si="1"/>
        <v>25.110000000000003</v>
      </c>
      <c r="G18" s="20">
        <v>3</v>
      </c>
      <c r="H18" s="20">
        <f t="shared" si="2"/>
        <v>3</v>
      </c>
      <c r="I18" s="21">
        <f t="shared" si="3"/>
        <v>74.61</v>
      </c>
      <c r="J18" s="21">
        <f t="shared" si="4"/>
        <v>51.61</v>
      </c>
      <c r="K18" s="21">
        <f t="shared" si="5"/>
        <v>23</v>
      </c>
      <c r="L18" s="21">
        <f t="shared" si="6"/>
        <v>100</v>
      </c>
      <c r="M18" s="50">
        <f t="shared" si="7"/>
        <v>87.305000000000007</v>
      </c>
      <c r="O18" s="85">
        <v>1</v>
      </c>
      <c r="P18" s="20">
        <v>93</v>
      </c>
    </row>
    <row r="19" spans="1:16" x14ac:dyDescent="0.2">
      <c r="A19" s="86" t="s">
        <v>111</v>
      </c>
      <c r="B19" s="20">
        <v>10</v>
      </c>
      <c r="C19" s="20">
        <v>10</v>
      </c>
      <c r="D19" s="20">
        <v>10</v>
      </c>
      <c r="E19" s="20">
        <f>50*27/100</f>
        <v>13.5</v>
      </c>
      <c r="F19" s="20">
        <f t="shared" si="1"/>
        <v>25.110000000000003</v>
      </c>
      <c r="G19" s="20">
        <v>3</v>
      </c>
      <c r="H19" s="20">
        <f t="shared" si="2"/>
        <v>3</v>
      </c>
      <c r="I19" s="21">
        <f t="shared" si="3"/>
        <v>74.61</v>
      </c>
      <c r="J19" s="21">
        <f t="shared" si="4"/>
        <v>51.61</v>
      </c>
      <c r="K19" s="21">
        <f t="shared" si="5"/>
        <v>23</v>
      </c>
      <c r="L19" s="21">
        <f t="shared" si="6"/>
        <v>100</v>
      </c>
      <c r="M19" s="50">
        <f t="shared" si="7"/>
        <v>87.305000000000007</v>
      </c>
      <c r="O19" s="85">
        <v>1</v>
      </c>
      <c r="P19" s="20">
        <v>93</v>
      </c>
    </row>
    <row r="20" spans="1:16" x14ac:dyDescent="0.2">
      <c r="A20" s="86" t="s">
        <v>126</v>
      </c>
      <c r="B20" s="20">
        <v>20</v>
      </c>
      <c r="C20" s="20">
        <v>10</v>
      </c>
      <c r="D20" s="20">
        <v>10</v>
      </c>
      <c r="E20" s="20">
        <f>50*27/100</f>
        <v>13.5</v>
      </c>
      <c r="F20" s="20">
        <f t="shared" si="1"/>
        <v>25.650000000000002</v>
      </c>
      <c r="G20" s="20">
        <v>3</v>
      </c>
      <c r="H20" s="20">
        <f t="shared" si="2"/>
        <v>2.25</v>
      </c>
      <c r="I20" s="21">
        <f t="shared" si="3"/>
        <v>84.4</v>
      </c>
      <c r="J20" s="21">
        <f t="shared" si="4"/>
        <v>51.400000000000006</v>
      </c>
      <c r="K20" s="21">
        <f t="shared" si="5"/>
        <v>33</v>
      </c>
      <c r="L20" s="21">
        <f t="shared" si="6"/>
        <v>100</v>
      </c>
      <c r="M20" s="50">
        <f t="shared" si="7"/>
        <v>92.2</v>
      </c>
      <c r="O20" s="85">
        <v>3</v>
      </c>
      <c r="P20" s="20">
        <v>95</v>
      </c>
    </row>
    <row r="21" spans="1:16" x14ac:dyDescent="0.2">
      <c r="A21" s="86" t="s">
        <v>112</v>
      </c>
      <c r="B21" s="20">
        <v>10</v>
      </c>
      <c r="C21" s="20">
        <v>10</v>
      </c>
      <c r="D21" s="20">
        <v>10</v>
      </c>
      <c r="E21" s="20">
        <f>50*27/100</f>
        <v>13.5</v>
      </c>
      <c r="F21" s="20">
        <f t="shared" si="1"/>
        <v>25.110000000000003</v>
      </c>
      <c r="G21" s="20">
        <v>3</v>
      </c>
      <c r="H21" s="20">
        <f t="shared" si="2"/>
        <v>3</v>
      </c>
      <c r="I21" s="21">
        <f t="shared" si="3"/>
        <v>74.61</v>
      </c>
      <c r="J21" s="21">
        <f t="shared" si="4"/>
        <v>51.61</v>
      </c>
      <c r="K21" s="21">
        <f t="shared" si="5"/>
        <v>23</v>
      </c>
      <c r="L21" s="21">
        <f t="shared" si="6"/>
        <v>100</v>
      </c>
      <c r="M21" s="50">
        <f t="shared" si="7"/>
        <v>87.305000000000007</v>
      </c>
      <c r="O21" s="85">
        <v>1</v>
      </c>
      <c r="P21" s="20">
        <v>93</v>
      </c>
    </row>
    <row r="22" spans="1:16" x14ac:dyDescent="0.2">
      <c r="A22" s="86" t="s">
        <v>127</v>
      </c>
      <c r="B22" s="20">
        <v>20</v>
      </c>
      <c r="C22" s="20">
        <v>10</v>
      </c>
      <c r="D22" s="20">
        <v>10</v>
      </c>
      <c r="E22" s="20">
        <v>27</v>
      </c>
      <c r="F22" s="20">
        <f t="shared" si="1"/>
        <v>23.490000000000002</v>
      </c>
      <c r="G22" s="20">
        <v>3</v>
      </c>
      <c r="H22" s="20">
        <f t="shared" si="2"/>
        <v>3</v>
      </c>
      <c r="I22" s="21">
        <f t="shared" si="3"/>
        <v>96.490000000000009</v>
      </c>
      <c r="J22" s="21">
        <f t="shared" si="4"/>
        <v>63.49</v>
      </c>
      <c r="K22" s="21">
        <f t="shared" si="5"/>
        <v>33</v>
      </c>
      <c r="L22" s="21">
        <f t="shared" si="6"/>
        <v>100</v>
      </c>
      <c r="M22" s="50">
        <f t="shared" si="7"/>
        <v>98.245000000000005</v>
      </c>
      <c r="N22" s="31"/>
      <c r="O22" s="85">
        <v>4</v>
      </c>
      <c r="P22" s="20">
        <v>87</v>
      </c>
    </row>
    <row r="23" spans="1:16" x14ac:dyDescent="0.2">
      <c r="A23" s="86" t="s">
        <v>128</v>
      </c>
      <c r="B23" s="20">
        <v>20</v>
      </c>
      <c r="C23" s="20">
        <v>10</v>
      </c>
      <c r="D23" s="20">
        <v>10</v>
      </c>
      <c r="E23" s="20">
        <v>27</v>
      </c>
      <c r="F23" s="20">
        <f t="shared" si="1"/>
        <v>23.490000000000002</v>
      </c>
      <c r="G23" s="20">
        <v>3</v>
      </c>
      <c r="H23" s="20">
        <f t="shared" si="2"/>
        <v>3</v>
      </c>
      <c r="I23" s="21">
        <f t="shared" si="3"/>
        <v>96.490000000000009</v>
      </c>
      <c r="J23" s="21">
        <f t="shared" si="4"/>
        <v>63.49</v>
      </c>
      <c r="K23" s="21">
        <f t="shared" si="5"/>
        <v>33</v>
      </c>
      <c r="L23" s="21">
        <f t="shared" si="6"/>
        <v>100</v>
      </c>
      <c r="M23" s="50">
        <f t="shared" si="7"/>
        <v>98.245000000000005</v>
      </c>
      <c r="O23" s="85">
        <v>4</v>
      </c>
      <c r="P23" s="20">
        <v>87</v>
      </c>
    </row>
    <row r="24" spans="1:16" x14ac:dyDescent="0.2">
      <c r="A24" s="86" t="s">
        <v>113</v>
      </c>
      <c r="B24" s="20">
        <v>20</v>
      </c>
      <c r="C24" s="20">
        <v>10</v>
      </c>
      <c r="D24" s="20">
        <v>10</v>
      </c>
      <c r="E24" s="20">
        <v>27</v>
      </c>
      <c r="F24" s="20">
        <f t="shared" si="1"/>
        <v>27</v>
      </c>
      <c r="G24" s="20">
        <v>3</v>
      </c>
      <c r="H24" s="20">
        <f t="shared" si="2"/>
        <v>3</v>
      </c>
      <c r="I24" s="21">
        <f t="shared" si="3"/>
        <v>100</v>
      </c>
      <c r="J24" s="21">
        <f t="shared" si="4"/>
        <v>67</v>
      </c>
      <c r="K24" s="21">
        <f t="shared" si="5"/>
        <v>33</v>
      </c>
      <c r="L24" s="21">
        <f t="shared" si="6"/>
        <v>100</v>
      </c>
      <c r="M24" s="50">
        <f t="shared" si="7"/>
        <v>100</v>
      </c>
      <c r="O24" s="85">
        <v>5</v>
      </c>
      <c r="P24" s="20">
        <v>100</v>
      </c>
    </row>
    <row r="25" spans="1:16" x14ac:dyDescent="0.2">
      <c r="A25" s="86" t="s">
        <v>114</v>
      </c>
      <c r="B25" s="20">
        <v>20</v>
      </c>
      <c r="C25" s="20">
        <v>10</v>
      </c>
      <c r="D25" s="20">
        <v>10</v>
      </c>
      <c r="E25" s="20">
        <v>27</v>
      </c>
      <c r="F25" s="20">
        <f t="shared" si="1"/>
        <v>25.650000000000002</v>
      </c>
      <c r="G25" s="20">
        <v>3</v>
      </c>
      <c r="H25" s="20">
        <f t="shared" si="2"/>
        <v>3</v>
      </c>
      <c r="I25" s="21">
        <f t="shared" si="3"/>
        <v>98.65</v>
      </c>
      <c r="J25" s="21">
        <f t="shared" si="4"/>
        <v>65.650000000000006</v>
      </c>
      <c r="K25" s="21">
        <f t="shared" si="5"/>
        <v>33</v>
      </c>
      <c r="L25" s="21">
        <f t="shared" si="6"/>
        <v>100</v>
      </c>
      <c r="M25" s="50">
        <f t="shared" si="7"/>
        <v>99.325000000000003</v>
      </c>
      <c r="O25" s="85">
        <v>2</v>
      </c>
      <c r="P25" s="20">
        <v>95</v>
      </c>
    </row>
    <row r="26" spans="1:16" x14ac:dyDescent="0.2">
      <c r="A26" s="86" t="s">
        <v>106</v>
      </c>
      <c r="B26" s="20">
        <v>10</v>
      </c>
      <c r="C26" s="20">
        <v>10</v>
      </c>
      <c r="D26" s="20">
        <v>10</v>
      </c>
      <c r="E26" s="20">
        <f>50*27/100</f>
        <v>13.5</v>
      </c>
      <c r="F26" s="20">
        <f t="shared" si="1"/>
        <v>25.650000000000002</v>
      </c>
      <c r="G26" s="20">
        <v>3</v>
      </c>
      <c r="H26" s="20">
        <f t="shared" si="2"/>
        <v>3</v>
      </c>
      <c r="I26" s="21">
        <f t="shared" si="3"/>
        <v>75.150000000000006</v>
      </c>
      <c r="J26" s="21">
        <f t="shared" si="4"/>
        <v>52.150000000000006</v>
      </c>
      <c r="K26" s="21">
        <f t="shared" si="5"/>
        <v>23</v>
      </c>
      <c r="L26" s="21">
        <f t="shared" si="6"/>
        <v>100</v>
      </c>
      <c r="M26" s="50">
        <f t="shared" si="7"/>
        <v>87.575000000000003</v>
      </c>
      <c r="O26" s="85">
        <v>3</v>
      </c>
      <c r="P26" s="20">
        <v>95</v>
      </c>
    </row>
    <row r="27" spans="1:16" x14ac:dyDescent="0.2">
      <c r="A27" s="86" t="s">
        <v>108</v>
      </c>
      <c r="B27" s="20">
        <v>20</v>
      </c>
      <c r="C27" s="20">
        <v>10</v>
      </c>
      <c r="D27" s="20">
        <v>10</v>
      </c>
      <c r="E27" s="20">
        <v>27</v>
      </c>
      <c r="F27" s="20">
        <f t="shared" si="1"/>
        <v>27</v>
      </c>
      <c r="G27" s="20">
        <v>3</v>
      </c>
      <c r="H27" s="20">
        <f t="shared" si="2"/>
        <v>2.25</v>
      </c>
      <c r="I27" s="21">
        <f t="shared" si="3"/>
        <v>99.25</v>
      </c>
      <c r="J27" s="21">
        <f t="shared" si="4"/>
        <v>66.25</v>
      </c>
      <c r="K27" s="21">
        <f t="shared" si="5"/>
        <v>33</v>
      </c>
      <c r="L27" s="21">
        <f t="shared" si="6"/>
        <v>100</v>
      </c>
      <c r="M27" s="50">
        <f t="shared" si="7"/>
        <v>99.625</v>
      </c>
      <c r="O27" s="85">
        <v>5</v>
      </c>
      <c r="P27" s="20">
        <v>100</v>
      </c>
    </row>
    <row r="28" spans="1:16" x14ac:dyDescent="0.2">
      <c r="A28" s="71"/>
      <c r="B28" s="70"/>
      <c r="C28" s="70"/>
      <c r="D28" s="70"/>
      <c r="E28" s="70"/>
      <c r="F28" s="70"/>
      <c r="G28" s="70"/>
      <c r="H28" s="70"/>
      <c r="I28" s="89"/>
      <c r="J28" s="89"/>
      <c r="K28" s="89"/>
      <c r="L28" s="89"/>
      <c r="M28" s="90"/>
      <c r="O28" s="85"/>
      <c r="P28" s="70"/>
    </row>
    <row r="29" spans="1:16" x14ac:dyDescent="0.2">
      <c r="B29" s="120" t="s">
        <v>84</v>
      </c>
      <c r="C29" s="120"/>
      <c r="D29" s="120"/>
      <c r="E29" s="120"/>
      <c r="F29" s="120"/>
    </row>
    <row r="30" spans="1:16" x14ac:dyDescent="0.2">
      <c r="B30" s="22" t="s">
        <v>45</v>
      </c>
      <c r="C30" s="22" t="s">
        <v>46</v>
      </c>
      <c r="D30" s="22" t="s">
        <v>78</v>
      </c>
      <c r="E30" s="23" t="s">
        <v>79</v>
      </c>
      <c r="F30" s="23" t="s">
        <v>47</v>
      </c>
    </row>
    <row r="31" spans="1:16" x14ac:dyDescent="0.2">
      <c r="A31" s="86" t="s">
        <v>115</v>
      </c>
      <c r="B31" s="20">
        <v>100</v>
      </c>
      <c r="C31" s="20">
        <v>100</v>
      </c>
      <c r="D31" s="20">
        <v>100</v>
      </c>
      <c r="E31" s="20">
        <v>100</v>
      </c>
      <c r="F31" s="25">
        <f>AVERAGE(B31:E31)</f>
        <v>100</v>
      </c>
      <c r="H31" s="85">
        <v>2</v>
      </c>
    </row>
    <row r="32" spans="1:16" x14ac:dyDescent="0.2">
      <c r="A32" s="86" t="s">
        <v>116</v>
      </c>
      <c r="B32" s="20">
        <v>100</v>
      </c>
      <c r="C32" s="20">
        <v>100</v>
      </c>
      <c r="D32" s="20">
        <v>100</v>
      </c>
      <c r="E32" s="20">
        <f>19/20*100</f>
        <v>95</v>
      </c>
      <c r="F32" s="25">
        <f t="shared" ref="F32:F52" si="8">AVERAGE(B32:E32)</f>
        <v>98.75</v>
      </c>
      <c r="H32" s="85">
        <v>3</v>
      </c>
    </row>
    <row r="33" spans="1:8" x14ac:dyDescent="0.2">
      <c r="A33" s="86" t="s">
        <v>117</v>
      </c>
      <c r="B33" s="20">
        <v>100</v>
      </c>
      <c r="C33" s="20">
        <v>100</v>
      </c>
      <c r="D33" s="20">
        <v>100</v>
      </c>
      <c r="E33" s="20">
        <v>100</v>
      </c>
      <c r="F33" s="25">
        <f t="shared" si="8"/>
        <v>100</v>
      </c>
      <c r="H33" s="85">
        <v>3</v>
      </c>
    </row>
    <row r="34" spans="1:8" x14ac:dyDescent="0.2">
      <c r="A34" s="86" t="s">
        <v>118</v>
      </c>
      <c r="B34" s="20">
        <v>100</v>
      </c>
      <c r="C34" s="20">
        <v>100</v>
      </c>
      <c r="D34" s="20">
        <v>100</v>
      </c>
      <c r="E34" s="20">
        <v>100</v>
      </c>
      <c r="F34" s="25">
        <f t="shared" si="8"/>
        <v>100</v>
      </c>
      <c r="H34" s="85">
        <v>2</v>
      </c>
    </row>
    <row r="35" spans="1:8" x14ac:dyDescent="0.2">
      <c r="A35" s="86" t="s">
        <v>119</v>
      </c>
      <c r="B35" s="20">
        <f>11/20*100</f>
        <v>55.000000000000007</v>
      </c>
      <c r="C35" s="20">
        <f>10/20*100</f>
        <v>50</v>
      </c>
      <c r="D35" s="20">
        <f>5/20*100</f>
        <v>25</v>
      </c>
      <c r="E35" s="20">
        <f>19/20*100</f>
        <v>95</v>
      </c>
      <c r="F35" s="25">
        <f t="shared" si="8"/>
        <v>56.25</v>
      </c>
      <c r="H35" s="85">
        <v>2</v>
      </c>
    </row>
    <row r="36" spans="1:8" x14ac:dyDescent="0.2">
      <c r="A36" s="86" t="s">
        <v>107</v>
      </c>
      <c r="B36" s="20">
        <v>100</v>
      </c>
      <c r="C36" s="20">
        <v>100</v>
      </c>
      <c r="D36" s="20">
        <v>100</v>
      </c>
      <c r="E36" s="20">
        <v>100</v>
      </c>
      <c r="F36" s="25">
        <f t="shared" si="8"/>
        <v>100</v>
      </c>
      <c r="H36" s="85">
        <v>1</v>
      </c>
    </row>
    <row r="37" spans="1:8" x14ac:dyDescent="0.2">
      <c r="A37" s="86" t="s">
        <v>135</v>
      </c>
      <c r="B37" s="20">
        <v>0</v>
      </c>
      <c r="C37" s="20">
        <v>0</v>
      </c>
      <c r="D37" s="20">
        <v>0</v>
      </c>
      <c r="E37" s="20">
        <v>0</v>
      </c>
      <c r="F37" s="25">
        <f t="shared" si="8"/>
        <v>0</v>
      </c>
      <c r="H37" s="85">
        <v>4</v>
      </c>
    </row>
    <row r="38" spans="1:8" x14ac:dyDescent="0.2">
      <c r="A38" s="86" t="s">
        <v>120</v>
      </c>
      <c r="B38" s="20">
        <v>100</v>
      </c>
      <c r="C38" s="20">
        <v>100</v>
      </c>
      <c r="D38" s="20">
        <v>100</v>
      </c>
      <c r="E38" s="20">
        <v>100</v>
      </c>
      <c r="F38" s="25">
        <f t="shared" si="8"/>
        <v>100</v>
      </c>
      <c r="H38" s="85">
        <v>1</v>
      </c>
    </row>
    <row r="39" spans="1:8" x14ac:dyDescent="0.2">
      <c r="A39" s="86" t="s">
        <v>109</v>
      </c>
      <c r="B39" s="20">
        <v>0</v>
      </c>
      <c r="C39" s="20">
        <f>13/20*100</f>
        <v>65</v>
      </c>
      <c r="D39" s="20">
        <f>13/20*100</f>
        <v>65</v>
      </c>
      <c r="E39" s="20">
        <f>13/20*100</f>
        <v>65</v>
      </c>
      <c r="F39" s="25">
        <f t="shared" si="8"/>
        <v>48.75</v>
      </c>
      <c r="H39" s="85">
        <v>4</v>
      </c>
    </row>
    <row r="40" spans="1:8" x14ac:dyDescent="0.2">
      <c r="A40" s="86" t="s">
        <v>121</v>
      </c>
      <c r="B40" s="20">
        <v>100</v>
      </c>
      <c r="C40" s="20">
        <v>100</v>
      </c>
      <c r="D40" s="20">
        <v>100</v>
      </c>
      <c r="E40" s="20">
        <v>100</v>
      </c>
      <c r="F40" s="25">
        <f t="shared" si="8"/>
        <v>100</v>
      </c>
      <c r="H40" s="85">
        <v>4</v>
      </c>
    </row>
    <row r="41" spans="1:8" x14ac:dyDescent="0.2">
      <c r="A41" s="86" t="s">
        <v>122</v>
      </c>
      <c r="B41" s="20">
        <v>100</v>
      </c>
      <c r="C41" s="20">
        <v>100</v>
      </c>
      <c r="D41" s="20">
        <v>100</v>
      </c>
      <c r="E41" s="20">
        <v>100</v>
      </c>
      <c r="F41" s="25">
        <f t="shared" si="8"/>
        <v>100</v>
      </c>
      <c r="H41" s="85">
        <v>3</v>
      </c>
    </row>
    <row r="42" spans="1:8" x14ac:dyDescent="0.2">
      <c r="A42" s="86" t="s">
        <v>123</v>
      </c>
      <c r="B42" s="20">
        <v>100</v>
      </c>
      <c r="C42" s="20">
        <v>100</v>
      </c>
      <c r="D42" s="20">
        <v>100</v>
      </c>
      <c r="E42" s="20">
        <v>100</v>
      </c>
      <c r="F42" s="25">
        <f t="shared" si="8"/>
        <v>100</v>
      </c>
      <c r="H42" s="85">
        <v>5</v>
      </c>
    </row>
    <row r="43" spans="1:8" x14ac:dyDescent="0.2">
      <c r="A43" s="86" t="s">
        <v>124</v>
      </c>
      <c r="B43" s="20">
        <v>100</v>
      </c>
      <c r="C43" s="20">
        <v>100</v>
      </c>
      <c r="D43" s="20">
        <v>100</v>
      </c>
      <c r="E43" s="20">
        <v>100</v>
      </c>
      <c r="F43" s="25">
        <f t="shared" si="8"/>
        <v>100</v>
      </c>
      <c r="H43" s="85">
        <v>5</v>
      </c>
    </row>
    <row r="44" spans="1:8" x14ac:dyDescent="0.2">
      <c r="A44" s="86" t="s">
        <v>110</v>
      </c>
      <c r="B44" s="20">
        <v>100</v>
      </c>
      <c r="C44" s="20">
        <v>100</v>
      </c>
      <c r="D44" s="20">
        <v>100</v>
      </c>
      <c r="E44" s="20">
        <v>100</v>
      </c>
      <c r="F44" s="25">
        <f t="shared" si="8"/>
        <v>100</v>
      </c>
      <c r="H44" s="85">
        <v>2</v>
      </c>
    </row>
    <row r="45" spans="1:8" x14ac:dyDescent="0.2">
      <c r="A45" s="86" t="s">
        <v>125</v>
      </c>
      <c r="B45" s="20">
        <v>100</v>
      </c>
      <c r="C45" s="20">
        <v>100</v>
      </c>
      <c r="D45" s="20">
        <v>100</v>
      </c>
      <c r="E45" s="20">
        <v>100</v>
      </c>
      <c r="F45" s="25">
        <f t="shared" si="8"/>
        <v>100</v>
      </c>
      <c r="H45" s="85">
        <v>1</v>
      </c>
    </row>
    <row r="46" spans="1:8" x14ac:dyDescent="0.2">
      <c r="A46" s="86" t="s">
        <v>111</v>
      </c>
      <c r="B46" s="20">
        <v>100</v>
      </c>
      <c r="C46" s="20">
        <v>100</v>
      </c>
      <c r="D46" s="20">
        <v>100</v>
      </c>
      <c r="E46" s="20">
        <v>100</v>
      </c>
      <c r="F46" s="25">
        <f t="shared" si="8"/>
        <v>100</v>
      </c>
      <c r="H46" s="85">
        <v>1</v>
      </c>
    </row>
    <row r="47" spans="1:8" x14ac:dyDescent="0.2">
      <c r="A47" s="86" t="s">
        <v>126</v>
      </c>
      <c r="B47" s="20">
        <v>100</v>
      </c>
      <c r="C47" s="20">
        <v>100</v>
      </c>
      <c r="D47" s="20">
        <v>100</v>
      </c>
      <c r="E47" s="20">
        <v>100</v>
      </c>
      <c r="F47" s="25">
        <f t="shared" si="8"/>
        <v>100</v>
      </c>
      <c r="H47" s="85">
        <v>3</v>
      </c>
    </row>
    <row r="48" spans="1:8" x14ac:dyDescent="0.2">
      <c r="A48" s="86" t="s">
        <v>112</v>
      </c>
      <c r="B48" s="20">
        <v>100</v>
      </c>
      <c r="C48" s="20">
        <v>100</v>
      </c>
      <c r="D48" s="20">
        <v>100</v>
      </c>
      <c r="E48" s="20">
        <v>100</v>
      </c>
      <c r="F48" s="25">
        <f t="shared" si="8"/>
        <v>100</v>
      </c>
      <c r="H48" s="85">
        <v>1</v>
      </c>
    </row>
    <row r="49" spans="1:8" x14ac:dyDescent="0.2">
      <c r="A49" s="86" t="s">
        <v>127</v>
      </c>
      <c r="B49" s="20">
        <v>100</v>
      </c>
      <c r="C49" s="20">
        <v>100</v>
      </c>
      <c r="D49" s="20">
        <v>100</v>
      </c>
      <c r="E49" s="20">
        <v>100</v>
      </c>
      <c r="F49" s="25">
        <f t="shared" si="8"/>
        <v>100</v>
      </c>
      <c r="H49" s="85">
        <v>4</v>
      </c>
    </row>
    <row r="50" spans="1:8" x14ac:dyDescent="0.2">
      <c r="A50" s="86" t="s">
        <v>128</v>
      </c>
      <c r="B50" s="20">
        <v>100</v>
      </c>
      <c r="C50" s="20">
        <v>100</v>
      </c>
      <c r="D50" s="20">
        <v>100</v>
      </c>
      <c r="E50" s="20">
        <v>100</v>
      </c>
      <c r="F50" s="25">
        <f t="shared" si="8"/>
        <v>100</v>
      </c>
      <c r="H50" s="85">
        <v>4</v>
      </c>
    </row>
    <row r="51" spans="1:8" x14ac:dyDescent="0.2">
      <c r="A51" s="86" t="s">
        <v>113</v>
      </c>
      <c r="B51" s="20">
        <v>100</v>
      </c>
      <c r="C51" s="20">
        <v>100</v>
      </c>
      <c r="D51" s="20">
        <v>100</v>
      </c>
      <c r="E51" s="20">
        <v>100</v>
      </c>
      <c r="F51" s="25">
        <f t="shared" si="8"/>
        <v>100</v>
      </c>
      <c r="H51" s="85">
        <v>5</v>
      </c>
    </row>
    <row r="52" spans="1:8" x14ac:dyDescent="0.2">
      <c r="A52" s="86" t="s">
        <v>114</v>
      </c>
      <c r="B52" s="20">
        <v>100</v>
      </c>
      <c r="C52" s="20">
        <v>100</v>
      </c>
      <c r="D52" s="20">
        <v>100</v>
      </c>
      <c r="E52" s="20">
        <v>100</v>
      </c>
      <c r="F52" s="25">
        <f t="shared" si="8"/>
        <v>100</v>
      </c>
      <c r="H52" s="85">
        <v>2</v>
      </c>
    </row>
    <row r="53" spans="1:8" x14ac:dyDescent="0.2">
      <c r="A53" s="86" t="s">
        <v>106</v>
      </c>
      <c r="B53" s="20">
        <v>100</v>
      </c>
      <c r="C53" s="20">
        <v>100</v>
      </c>
      <c r="D53" s="20">
        <v>100</v>
      </c>
      <c r="E53" s="20">
        <v>100</v>
      </c>
      <c r="F53" s="25">
        <f t="shared" ref="F53:F54" si="9">AVERAGE(B53:E53)</f>
        <v>100</v>
      </c>
      <c r="H53" s="85">
        <v>3</v>
      </c>
    </row>
    <row r="54" spans="1:8" x14ac:dyDescent="0.2">
      <c r="A54" s="86" t="s">
        <v>108</v>
      </c>
      <c r="B54" s="20">
        <v>100</v>
      </c>
      <c r="C54" s="20">
        <v>100</v>
      </c>
      <c r="D54" s="20">
        <v>100</v>
      </c>
      <c r="E54" s="20">
        <v>100</v>
      </c>
      <c r="F54" s="25">
        <f t="shared" si="9"/>
        <v>100</v>
      </c>
      <c r="H54" s="85">
        <v>5</v>
      </c>
    </row>
    <row r="55" spans="1:8" x14ac:dyDescent="0.2">
      <c r="A55" s="71"/>
      <c r="B55" s="70"/>
      <c r="C55" s="70"/>
      <c r="D55" s="70"/>
      <c r="E55" s="70"/>
      <c r="F55" s="70"/>
      <c r="H55" s="85"/>
    </row>
    <row r="56" spans="1:8" x14ac:dyDescent="0.2">
      <c r="B56" s="119" t="s">
        <v>134</v>
      </c>
      <c r="C56" s="119"/>
      <c r="D56" s="119"/>
      <c r="E56" s="119"/>
      <c r="F56" s="119"/>
    </row>
    <row r="57" spans="1:8" x14ac:dyDescent="0.2">
      <c r="B57" s="40">
        <v>43634</v>
      </c>
      <c r="C57" s="40">
        <v>43637</v>
      </c>
      <c r="D57" s="40">
        <v>43641</v>
      </c>
      <c r="E57" s="40">
        <v>43644</v>
      </c>
      <c r="F57" s="23" t="s">
        <v>47</v>
      </c>
    </row>
    <row r="58" spans="1:8" x14ac:dyDescent="0.2">
      <c r="A58" s="86" t="s">
        <v>115</v>
      </c>
      <c r="B58" s="20">
        <v>1</v>
      </c>
      <c r="C58" s="20">
        <v>1</v>
      </c>
      <c r="D58" s="20">
        <v>1</v>
      </c>
      <c r="E58" s="20">
        <v>1</v>
      </c>
      <c r="F58" s="25">
        <f>AVERAGE(B58:E58)*100</f>
        <v>100</v>
      </c>
      <c r="H58" s="85">
        <v>2</v>
      </c>
    </row>
    <row r="59" spans="1:8" x14ac:dyDescent="0.2">
      <c r="A59" s="86" t="s">
        <v>116</v>
      </c>
      <c r="B59" s="20">
        <v>1</v>
      </c>
      <c r="C59" s="20">
        <v>1</v>
      </c>
      <c r="D59" s="20">
        <v>1</v>
      </c>
      <c r="E59" s="20">
        <v>1</v>
      </c>
      <c r="F59" s="25">
        <f t="shared" ref="F59:F79" si="10">AVERAGE(B59:E59)*100</f>
        <v>100</v>
      </c>
      <c r="H59" s="85">
        <v>3</v>
      </c>
    </row>
    <row r="60" spans="1:8" x14ac:dyDescent="0.2">
      <c r="A60" s="86" t="s">
        <v>117</v>
      </c>
      <c r="B60" s="20">
        <v>1</v>
      </c>
      <c r="C60" s="20">
        <v>1</v>
      </c>
      <c r="D60" s="20">
        <v>0</v>
      </c>
      <c r="E60" s="20">
        <v>1</v>
      </c>
      <c r="F60" s="25">
        <f t="shared" si="10"/>
        <v>75</v>
      </c>
      <c r="H60" s="85">
        <v>3</v>
      </c>
    </row>
    <row r="61" spans="1:8" x14ac:dyDescent="0.2">
      <c r="A61" s="86" t="s">
        <v>118</v>
      </c>
      <c r="B61" s="20">
        <v>1</v>
      </c>
      <c r="C61" s="20">
        <v>1</v>
      </c>
      <c r="D61" s="20">
        <v>1</v>
      </c>
      <c r="E61" s="20">
        <v>1</v>
      </c>
      <c r="F61" s="25">
        <f t="shared" si="10"/>
        <v>100</v>
      </c>
      <c r="H61" s="85">
        <v>2</v>
      </c>
    </row>
    <row r="62" spans="1:8" x14ac:dyDescent="0.2">
      <c r="A62" s="86" t="s">
        <v>119</v>
      </c>
      <c r="B62" s="20">
        <v>1</v>
      </c>
      <c r="C62" s="20">
        <v>1</v>
      </c>
      <c r="D62" s="20">
        <v>0</v>
      </c>
      <c r="E62" s="20">
        <v>1</v>
      </c>
      <c r="F62" s="25">
        <f t="shared" si="10"/>
        <v>75</v>
      </c>
      <c r="H62" s="85">
        <v>2</v>
      </c>
    </row>
    <row r="63" spans="1:8" x14ac:dyDescent="0.2">
      <c r="A63" s="86" t="s">
        <v>107</v>
      </c>
      <c r="B63" s="20">
        <v>1</v>
      </c>
      <c r="C63" s="20">
        <v>1</v>
      </c>
      <c r="D63" s="20">
        <v>1</v>
      </c>
      <c r="E63" s="20">
        <v>1</v>
      </c>
      <c r="F63" s="25">
        <f t="shared" si="10"/>
        <v>100</v>
      </c>
      <c r="H63" s="85">
        <v>1</v>
      </c>
    </row>
    <row r="64" spans="1:8" x14ac:dyDescent="0.2">
      <c r="A64" s="86" t="s">
        <v>135</v>
      </c>
      <c r="B64" s="20">
        <v>0</v>
      </c>
      <c r="C64" s="20">
        <v>0</v>
      </c>
      <c r="D64" s="20">
        <v>0</v>
      </c>
      <c r="E64" s="20">
        <v>0</v>
      </c>
      <c r="F64" s="25">
        <f t="shared" si="10"/>
        <v>0</v>
      </c>
      <c r="H64" s="85">
        <v>4</v>
      </c>
    </row>
    <row r="65" spans="1:8" x14ac:dyDescent="0.2">
      <c r="A65" s="86" t="s">
        <v>120</v>
      </c>
      <c r="B65" s="20">
        <v>1</v>
      </c>
      <c r="C65" s="20">
        <v>1</v>
      </c>
      <c r="D65" s="20">
        <v>1</v>
      </c>
      <c r="E65" s="20">
        <v>1</v>
      </c>
      <c r="F65" s="25">
        <f t="shared" si="10"/>
        <v>100</v>
      </c>
      <c r="H65" s="85">
        <v>1</v>
      </c>
    </row>
    <row r="66" spans="1:8" x14ac:dyDescent="0.2">
      <c r="A66" s="86" t="s">
        <v>109</v>
      </c>
      <c r="B66" s="20">
        <v>0</v>
      </c>
      <c r="C66" s="20">
        <v>0</v>
      </c>
      <c r="D66" s="20">
        <v>0</v>
      </c>
      <c r="E66" s="20">
        <v>0</v>
      </c>
      <c r="F66" s="25">
        <f t="shared" si="10"/>
        <v>0</v>
      </c>
      <c r="H66" s="85">
        <v>4</v>
      </c>
    </row>
    <row r="67" spans="1:8" x14ac:dyDescent="0.2">
      <c r="A67" s="86" t="s">
        <v>121</v>
      </c>
      <c r="B67" s="20">
        <v>1</v>
      </c>
      <c r="C67" s="20">
        <v>1</v>
      </c>
      <c r="D67" s="20">
        <v>1</v>
      </c>
      <c r="E67" s="20">
        <v>1</v>
      </c>
      <c r="F67" s="25">
        <f t="shared" si="10"/>
        <v>100</v>
      </c>
      <c r="H67" s="85">
        <v>4</v>
      </c>
    </row>
    <row r="68" spans="1:8" x14ac:dyDescent="0.2">
      <c r="A68" s="86" t="s">
        <v>122</v>
      </c>
      <c r="B68" s="20">
        <v>1</v>
      </c>
      <c r="C68" s="20">
        <v>1</v>
      </c>
      <c r="D68" s="20">
        <v>0</v>
      </c>
      <c r="E68" s="20">
        <v>1</v>
      </c>
      <c r="F68" s="25">
        <f t="shared" si="10"/>
        <v>75</v>
      </c>
      <c r="H68" s="85">
        <v>3</v>
      </c>
    </row>
    <row r="69" spans="1:8" x14ac:dyDescent="0.2">
      <c r="A69" s="86" t="s">
        <v>123</v>
      </c>
      <c r="B69" s="20">
        <v>1</v>
      </c>
      <c r="C69" s="20">
        <v>1</v>
      </c>
      <c r="D69" s="20">
        <v>1</v>
      </c>
      <c r="E69" s="20">
        <v>1</v>
      </c>
      <c r="F69" s="25">
        <f t="shared" si="10"/>
        <v>100</v>
      </c>
      <c r="H69" s="85">
        <v>5</v>
      </c>
    </row>
    <row r="70" spans="1:8" x14ac:dyDescent="0.2">
      <c r="A70" s="86" t="s">
        <v>124</v>
      </c>
      <c r="B70" s="20">
        <v>1</v>
      </c>
      <c r="C70" s="20">
        <v>1</v>
      </c>
      <c r="D70" s="20">
        <v>1</v>
      </c>
      <c r="E70" s="20">
        <v>1</v>
      </c>
      <c r="F70" s="25">
        <f t="shared" si="10"/>
        <v>100</v>
      </c>
      <c r="H70" s="85">
        <v>5</v>
      </c>
    </row>
    <row r="71" spans="1:8" x14ac:dyDescent="0.2">
      <c r="A71" s="86" t="s">
        <v>110</v>
      </c>
      <c r="B71" s="20">
        <v>1</v>
      </c>
      <c r="C71" s="20">
        <v>1</v>
      </c>
      <c r="D71" s="20">
        <v>1</v>
      </c>
      <c r="E71" s="20">
        <v>1</v>
      </c>
      <c r="F71" s="25">
        <f t="shared" si="10"/>
        <v>100</v>
      </c>
      <c r="H71" s="85">
        <v>2</v>
      </c>
    </row>
    <row r="72" spans="1:8" x14ac:dyDescent="0.2">
      <c r="A72" s="86" t="s">
        <v>125</v>
      </c>
      <c r="B72" s="20">
        <v>1</v>
      </c>
      <c r="C72" s="20">
        <v>1</v>
      </c>
      <c r="D72" s="20">
        <v>1</v>
      </c>
      <c r="E72" s="20">
        <v>1</v>
      </c>
      <c r="F72" s="25">
        <f t="shared" si="10"/>
        <v>100</v>
      </c>
      <c r="H72" s="85">
        <v>1</v>
      </c>
    </row>
    <row r="73" spans="1:8" x14ac:dyDescent="0.2">
      <c r="A73" s="86" t="s">
        <v>111</v>
      </c>
      <c r="B73" s="20">
        <v>1</v>
      </c>
      <c r="C73" s="20">
        <v>1</v>
      </c>
      <c r="D73" s="20">
        <v>1</v>
      </c>
      <c r="E73" s="20">
        <v>1</v>
      </c>
      <c r="F73" s="25">
        <f t="shared" si="10"/>
        <v>100</v>
      </c>
      <c r="H73" s="85">
        <v>1</v>
      </c>
    </row>
    <row r="74" spans="1:8" x14ac:dyDescent="0.2">
      <c r="A74" s="86" t="s">
        <v>126</v>
      </c>
      <c r="B74" s="20">
        <v>1</v>
      </c>
      <c r="C74" s="20">
        <v>1</v>
      </c>
      <c r="D74" s="20">
        <v>0</v>
      </c>
      <c r="E74" s="20">
        <v>1</v>
      </c>
      <c r="F74" s="25">
        <f t="shared" si="10"/>
        <v>75</v>
      </c>
      <c r="H74" s="85">
        <v>3</v>
      </c>
    </row>
    <row r="75" spans="1:8" x14ac:dyDescent="0.2">
      <c r="A75" s="86" t="s">
        <v>112</v>
      </c>
      <c r="B75" s="20">
        <v>1</v>
      </c>
      <c r="C75" s="20">
        <v>1</v>
      </c>
      <c r="D75" s="20">
        <v>1</v>
      </c>
      <c r="E75" s="20">
        <v>1</v>
      </c>
      <c r="F75" s="25">
        <f t="shared" si="10"/>
        <v>100</v>
      </c>
      <c r="H75" s="85">
        <v>1</v>
      </c>
    </row>
    <row r="76" spans="1:8" x14ac:dyDescent="0.2">
      <c r="A76" s="86" t="s">
        <v>127</v>
      </c>
      <c r="B76" s="20">
        <v>1</v>
      </c>
      <c r="C76" s="20">
        <v>1</v>
      </c>
      <c r="D76" s="20">
        <v>1</v>
      </c>
      <c r="E76" s="20">
        <v>1</v>
      </c>
      <c r="F76" s="25">
        <f t="shared" si="10"/>
        <v>100</v>
      </c>
      <c r="H76" s="85">
        <v>4</v>
      </c>
    </row>
    <row r="77" spans="1:8" x14ac:dyDescent="0.2">
      <c r="A77" s="86" t="s">
        <v>128</v>
      </c>
      <c r="B77" s="20">
        <v>1</v>
      </c>
      <c r="C77" s="20">
        <v>1</v>
      </c>
      <c r="D77" s="20">
        <v>1</v>
      </c>
      <c r="E77" s="20">
        <v>1</v>
      </c>
      <c r="F77" s="25">
        <f t="shared" si="10"/>
        <v>100</v>
      </c>
      <c r="H77" s="85">
        <v>4</v>
      </c>
    </row>
    <row r="78" spans="1:8" x14ac:dyDescent="0.2">
      <c r="A78" s="86" t="s">
        <v>113</v>
      </c>
      <c r="B78" s="20">
        <v>1</v>
      </c>
      <c r="C78" s="20">
        <v>1</v>
      </c>
      <c r="D78" s="20">
        <v>1</v>
      </c>
      <c r="E78" s="20">
        <v>1</v>
      </c>
      <c r="F78" s="25">
        <f t="shared" si="10"/>
        <v>100</v>
      </c>
      <c r="H78" s="85">
        <v>5</v>
      </c>
    </row>
    <row r="79" spans="1:8" x14ac:dyDescent="0.2">
      <c r="A79" s="86" t="s">
        <v>114</v>
      </c>
      <c r="B79" s="20">
        <v>1</v>
      </c>
      <c r="C79" s="20">
        <v>1</v>
      </c>
      <c r="D79" s="20">
        <v>1</v>
      </c>
      <c r="E79" s="20">
        <v>1</v>
      </c>
      <c r="F79" s="25">
        <f t="shared" si="10"/>
        <v>100</v>
      </c>
      <c r="H79" s="85">
        <v>2</v>
      </c>
    </row>
    <row r="80" spans="1:8" x14ac:dyDescent="0.2">
      <c r="A80" s="86" t="s">
        <v>106</v>
      </c>
      <c r="B80" s="20">
        <v>1</v>
      </c>
      <c r="C80" s="20">
        <v>1</v>
      </c>
      <c r="D80" s="20">
        <v>1</v>
      </c>
      <c r="E80" s="20">
        <v>1</v>
      </c>
      <c r="F80" s="25">
        <f t="shared" ref="F80:F81" si="11">AVERAGE(B80:E80)*100</f>
        <v>100</v>
      </c>
      <c r="H80" s="85">
        <v>3</v>
      </c>
    </row>
    <row r="81" spans="1:8" x14ac:dyDescent="0.2">
      <c r="A81" s="86" t="s">
        <v>108</v>
      </c>
      <c r="B81" s="20">
        <v>1</v>
      </c>
      <c r="C81" s="20">
        <v>1</v>
      </c>
      <c r="D81" s="20">
        <v>0</v>
      </c>
      <c r="E81" s="20">
        <v>1</v>
      </c>
      <c r="F81" s="25">
        <f t="shared" si="11"/>
        <v>75</v>
      </c>
      <c r="H81" s="85">
        <v>5</v>
      </c>
    </row>
    <row r="82" spans="1:8" x14ac:dyDescent="0.2">
      <c r="H82" s="85"/>
    </row>
  </sheetData>
  <sheetProtection selectLockedCells="1" selectUnlockedCells="1"/>
  <mergeCells count="3">
    <mergeCell ref="A1:K1"/>
    <mergeCell ref="B56:F56"/>
    <mergeCell ref="B29:F29"/>
  </mergeCells>
  <pageMargins left="0.19652777777777777" right="0.19652777777777777" top="0.19652777777777777" bottom="0.19652777777777777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pane xSplit="1" ySplit="3" topLeftCell="B4" activePane="bottomRight" state="frozen"/>
      <selection pane="topRight" activeCell="C1" sqref="C1"/>
      <selection pane="bottomLeft" activeCell="A9" sqref="A9"/>
      <selection pane="bottomRight" activeCell="G32" sqref="G32"/>
    </sheetView>
  </sheetViews>
  <sheetFormatPr baseColWidth="10" defaultColWidth="11.42578125" defaultRowHeight="12.75" x14ac:dyDescent="0.2"/>
  <cols>
    <col min="1" max="1" width="7.7109375" customWidth="1"/>
    <col min="2" max="6" width="8.7109375" customWidth="1"/>
    <col min="7" max="7" width="15.7109375" customWidth="1"/>
  </cols>
  <sheetData>
    <row r="1" spans="1:9" ht="15.75" x14ac:dyDescent="0.25">
      <c r="A1" s="115" t="s">
        <v>4</v>
      </c>
      <c r="B1" s="115"/>
      <c r="C1" s="115"/>
      <c r="D1" s="115"/>
      <c r="E1" s="115"/>
      <c r="F1" s="115"/>
      <c r="G1" s="115"/>
    </row>
    <row r="2" spans="1:9" x14ac:dyDescent="0.2">
      <c r="A2" s="1"/>
      <c r="B2" s="2"/>
      <c r="C2" s="2"/>
      <c r="D2" s="2"/>
      <c r="E2" s="2"/>
      <c r="F2" s="2"/>
      <c r="G2" s="2"/>
    </row>
    <row r="3" spans="1:9" x14ac:dyDescent="0.2">
      <c r="A3" s="3" t="s">
        <v>1</v>
      </c>
      <c r="B3" s="3" t="s">
        <v>52</v>
      </c>
      <c r="C3" s="3" t="s">
        <v>53</v>
      </c>
      <c r="D3" s="3" t="s">
        <v>54</v>
      </c>
      <c r="E3" s="3" t="s">
        <v>55</v>
      </c>
      <c r="F3" s="3" t="s">
        <v>56</v>
      </c>
      <c r="G3" s="3" t="s">
        <v>57</v>
      </c>
    </row>
    <row r="4" spans="1:9" x14ac:dyDescent="0.2">
      <c r="A4" s="86" t="s">
        <v>115</v>
      </c>
      <c r="B4" s="20">
        <v>74</v>
      </c>
      <c r="C4" s="20">
        <v>85</v>
      </c>
      <c r="D4" s="20">
        <v>100</v>
      </c>
      <c r="E4" s="20">
        <v>86</v>
      </c>
      <c r="F4" s="20">
        <v>86</v>
      </c>
      <c r="G4" s="4">
        <f>SUM(B4:F4)/5</f>
        <v>86.2</v>
      </c>
      <c r="I4" s="85">
        <v>2</v>
      </c>
    </row>
    <row r="5" spans="1:9" x14ac:dyDescent="0.2">
      <c r="A5" s="86" t="s">
        <v>116</v>
      </c>
      <c r="B5" s="20">
        <v>46</v>
      </c>
      <c r="C5" s="20">
        <v>78</v>
      </c>
      <c r="D5" s="20">
        <v>100</v>
      </c>
      <c r="E5" s="20">
        <v>92</v>
      </c>
      <c r="F5" s="20">
        <v>86</v>
      </c>
      <c r="G5" s="4">
        <f t="shared" ref="G5:G26" si="0">SUM(B5:F5)/5</f>
        <v>80.400000000000006</v>
      </c>
      <c r="I5" s="85">
        <v>3</v>
      </c>
    </row>
    <row r="6" spans="1:9" x14ac:dyDescent="0.2">
      <c r="A6" s="86" t="s">
        <v>117</v>
      </c>
      <c r="B6" s="20">
        <v>46</v>
      </c>
      <c r="C6" s="20">
        <v>78</v>
      </c>
      <c r="D6" s="20">
        <v>100</v>
      </c>
      <c r="E6" s="20">
        <v>92</v>
      </c>
      <c r="F6" s="20">
        <v>86</v>
      </c>
      <c r="G6" s="4">
        <f t="shared" si="0"/>
        <v>80.400000000000006</v>
      </c>
      <c r="I6" s="85">
        <v>3</v>
      </c>
    </row>
    <row r="7" spans="1:9" x14ac:dyDescent="0.2">
      <c r="A7" s="86" t="s">
        <v>118</v>
      </c>
      <c r="B7" s="20">
        <v>74</v>
      </c>
      <c r="C7" s="20">
        <v>85</v>
      </c>
      <c r="D7" s="20">
        <v>100</v>
      </c>
      <c r="E7" s="20">
        <v>86</v>
      </c>
      <c r="F7" s="20">
        <v>86</v>
      </c>
      <c r="G7" s="4">
        <f t="shared" si="0"/>
        <v>86.2</v>
      </c>
      <c r="I7" s="85">
        <v>2</v>
      </c>
    </row>
    <row r="8" spans="1:9" x14ac:dyDescent="0.2">
      <c r="A8" s="86" t="s">
        <v>119</v>
      </c>
      <c r="B8" s="20">
        <v>62</v>
      </c>
      <c r="C8" s="20">
        <v>0</v>
      </c>
      <c r="D8" s="20">
        <v>100</v>
      </c>
      <c r="E8" s="20">
        <v>86</v>
      </c>
      <c r="F8" s="20">
        <v>86</v>
      </c>
      <c r="G8" s="4">
        <f t="shared" si="0"/>
        <v>66.8</v>
      </c>
      <c r="I8" s="85">
        <v>2</v>
      </c>
    </row>
    <row r="9" spans="1:9" x14ac:dyDescent="0.2">
      <c r="A9" s="86" t="s">
        <v>107</v>
      </c>
      <c r="B9" s="20">
        <v>81</v>
      </c>
      <c r="C9" s="20">
        <v>52</v>
      </c>
      <c r="D9" s="20">
        <v>100</v>
      </c>
      <c r="E9" s="20">
        <v>68</v>
      </c>
      <c r="F9" s="20">
        <v>74</v>
      </c>
      <c r="G9" s="4">
        <f t="shared" si="0"/>
        <v>75</v>
      </c>
      <c r="I9" s="85">
        <v>1</v>
      </c>
    </row>
    <row r="10" spans="1:9" x14ac:dyDescent="0.2">
      <c r="A10" s="86" t="s">
        <v>135</v>
      </c>
      <c r="B10" s="20">
        <v>72</v>
      </c>
      <c r="C10" s="20">
        <v>0</v>
      </c>
      <c r="D10" s="20">
        <v>100</v>
      </c>
      <c r="E10" s="20">
        <v>0</v>
      </c>
      <c r="F10" s="20">
        <v>0</v>
      </c>
      <c r="G10" s="4">
        <f t="shared" si="0"/>
        <v>34.4</v>
      </c>
      <c r="I10" s="85">
        <v>4</v>
      </c>
    </row>
    <row r="11" spans="1:9" x14ac:dyDescent="0.2">
      <c r="A11" s="86" t="s">
        <v>120</v>
      </c>
      <c r="B11" s="20">
        <v>81</v>
      </c>
      <c r="C11" s="20">
        <v>52</v>
      </c>
      <c r="D11" s="20">
        <v>100</v>
      </c>
      <c r="E11" s="20">
        <v>68</v>
      </c>
      <c r="F11" s="20">
        <v>74</v>
      </c>
      <c r="G11" s="4">
        <f t="shared" si="0"/>
        <v>75</v>
      </c>
      <c r="I11" s="85">
        <v>1</v>
      </c>
    </row>
    <row r="12" spans="1:9" x14ac:dyDescent="0.2">
      <c r="A12" s="86" t="s">
        <v>109</v>
      </c>
      <c r="B12" s="20">
        <v>72</v>
      </c>
      <c r="C12" s="20">
        <v>0</v>
      </c>
      <c r="D12" s="20">
        <v>100</v>
      </c>
      <c r="E12" s="20">
        <v>81</v>
      </c>
      <c r="F12" s="20">
        <v>0</v>
      </c>
      <c r="G12" s="4">
        <f t="shared" si="0"/>
        <v>50.6</v>
      </c>
      <c r="I12" s="85">
        <v>4</v>
      </c>
    </row>
    <row r="13" spans="1:9" x14ac:dyDescent="0.2">
      <c r="A13" s="86" t="s">
        <v>121</v>
      </c>
      <c r="B13" s="20">
        <v>72</v>
      </c>
      <c r="C13" s="20">
        <v>92</v>
      </c>
      <c r="D13" s="20">
        <v>100</v>
      </c>
      <c r="E13" s="20">
        <v>81</v>
      </c>
      <c r="F13" s="20">
        <v>91</v>
      </c>
      <c r="G13" s="4">
        <f t="shared" si="0"/>
        <v>87.2</v>
      </c>
      <c r="I13" s="85">
        <v>4</v>
      </c>
    </row>
    <row r="14" spans="1:9" x14ac:dyDescent="0.2">
      <c r="A14" s="86" t="s">
        <v>122</v>
      </c>
      <c r="B14" s="20">
        <v>46</v>
      </c>
      <c r="C14" s="20">
        <v>78</v>
      </c>
      <c r="D14" s="20">
        <v>100</v>
      </c>
      <c r="E14" s="20">
        <v>92</v>
      </c>
      <c r="F14" s="20">
        <v>86</v>
      </c>
      <c r="G14" s="4">
        <f t="shared" si="0"/>
        <v>80.400000000000006</v>
      </c>
      <c r="I14" s="85">
        <v>3</v>
      </c>
    </row>
    <row r="15" spans="1:9" x14ac:dyDescent="0.2">
      <c r="A15" s="86" t="s">
        <v>123</v>
      </c>
      <c r="B15" s="20">
        <v>53</v>
      </c>
      <c r="C15" s="20">
        <v>19</v>
      </c>
      <c r="D15" s="20">
        <v>100</v>
      </c>
      <c r="E15" s="20">
        <v>99</v>
      </c>
      <c r="F15" s="20">
        <v>83</v>
      </c>
      <c r="G15" s="4">
        <f t="shared" si="0"/>
        <v>70.8</v>
      </c>
      <c r="I15" s="85">
        <v>5</v>
      </c>
    </row>
    <row r="16" spans="1:9" x14ac:dyDescent="0.2">
      <c r="A16" s="86" t="s">
        <v>124</v>
      </c>
      <c r="B16" s="20">
        <v>53</v>
      </c>
      <c r="C16" s="20">
        <v>19</v>
      </c>
      <c r="D16" s="20">
        <v>100</v>
      </c>
      <c r="E16" s="20">
        <v>99</v>
      </c>
      <c r="F16" s="20">
        <v>83</v>
      </c>
      <c r="G16" s="4">
        <f t="shared" si="0"/>
        <v>70.8</v>
      </c>
      <c r="I16" s="85">
        <v>5</v>
      </c>
    </row>
    <row r="17" spans="1:9" x14ac:dyDescent="0.2">
      <c r="A17" s="86" t="s">
        <v>110</v>
      </c>
      <c r="B17" s="20">
        <v>74</v>
      </c>
      <c r="C17" s="20">
        <v>85</v>
      </c>
      <c r="D17" s="20">
        <v>100</v>
      </c>
      <c r="E17" s="20">
        <v>86</v>
      </c>
      <c r="F17" s="20">
        <v>86</v>
      </c>
      <c r="G17" s="4">
        <f t="shared" si="0"/>
        <v>86.2</v>
      </c>
      <c r="I17" s="85">
        <v>2</v>
      </c>
    </row>
    <row r="18" spans="1:9" x14ac:dyDescent="0.2">
      <c r="A18" s="86" t="s">
        <v>125</v>
      </c>
      <c r="B18" s="20">
        <v>81</v>
      </c>
      <c r="C18" s="20">
        <v>52</v>
      </c>
      <c r="D18" s="20">
        <v>100</v>
      </c>
      <c r="E18" s="20">
        <v>68</v>
      </c>
      <c r="F18" s="20">
        <v>74</v>
      </c>
      <c r="G18" s="4">
        <f t="shared" si="0"/>
        <v>75</v>
      </c>
      <c r="I18" s="85">
        <v>1</v>
      </c>
    </row>
    <row r="19" spans="1:9" x14ac:dyDescent="0.2">
      <c r="A19" s="86" t="s">
        <v>111</v>
      </c>
      <c r="B19" s="20">
        <v>81</v>
      </c>
      <c r="C19" s="20">
        <v>52</v>
      </c>
      <c r="D19" s="20">
        <v>100</v>
      </c>
      <c r="E19" s="20">
        <v>68</v>
      </c>
      <c r="F19" s="20">
        <v>74</v>
      </c>
      <c r="G19" s="4">
        <f t="shared" si="0"/>
        <v>75</v>
      </c>
      <c r="I19" s="85">
        <v>1</v>
      </c>
    </row>
    <row r="20" spans="1:9" x14ac:dyDescent="0.2">
      <c r="A20" s="86" t="s">
        <v>126</v>
      </c>
      <c r="B20" s="20">
        <v>46</v>
      </c>
      <c r="C20" s="20">
        <v>78</v>
      </c>
      <c r="D20" s="20">
        <v>100</v>
      </c>
      <c r="E20" s="20">
        <v>92</v>
      </c>
      <c r="F20" s="20">
        <v>86</v>
      </c>
      <c r="G20" s="4">
        <f t="shared" si="0"/>
        <v>80.400000000000006</v>
      </c>
      <c r="I20" s="85">
        <v>3</v>
      </c>
    </row>
    <row r="21" spans="1:9" x14ac:dyDescent="0.2">
      <c r="A21" s="86" t="s">
        <v>112</v>
      </c>
      <c r="B21" s="20">
        <v>81</v>
      </c>
      <c r="C21" s="20">
        <v>52</v>
      </c>
      <c r="D21" s="20">
        <v>100</v>
      </c>
      <c r="E21" s="20">
        <v>68</v>
      </c>
      <c r="F21" s="20">
        <v>74</v>
      </c>
      <c r="G21" s="4">
        <f t="shared" si="0"/>
        <v>75</v>
      </c>
      <c r="I21" s="85">
        <v>1</v>
      </c>
    </row>
    <row r="22" spans="1:9" x14ac:dyDescent="0.2">
      <c r="A22" s="86" t="s">
        <v>127</v>
      </c>
      <c r="B22" s="20">
        <v>72</v>
      </c>
      <c r="C22" s="20">
        <v>92</v>
      </c>
      <c r="D22" s="20">
        <v>100</v>
      </c>
      <c r="E22" s="20">
        <v>81</v>
      </c>
      <c r="F22" s="20">
        <v>91</v>
      </c>
      <c r="G22" s="4">
        <f t="shared" si="0"/>
        <v>87.2</v>
      </c>
      <c r="I22" s="85">
        <v>4</v>
      </c>
    </row>
    <row r="23" spans="1:9" x14ac:dyDescent="0.2">
      <c r="A23" s="86" t="s">
        <v>128</v>
      </c>
      <c r="B23" s="20">
        <v>72</v>
      </c>
      <c r="C23" s="20">
        <v>92</v>
      </c>
      <c r="D23" s="20">
        <v>100</v>
      </c>
      <c r="E23" s="20">
        <v>81</v>
      </c>
      <c r="F23" s="20">
        <v>91</v>
      </c>
      <c r="G23" s="4">
        <f t="shared" si="0"/>
        <v>87.2</v>
      </c>
      <c r="I23" s="85">
        <v>4</v>
      </c>
    </row>
    <row r="24" spans="1:9" x14ac:dyDescent="0.2">
      <c r="A24" s="86" t="s">
        <v>113</v>
      </c>
      <c r="B24" s="20">
        <v>53</v>
      </c>
      <c r="C24" s="20">
        <v>19</v>
      </c>
      <c r="D24" s="20">
        <v>100</v>
      </c>
      <c r="E24" s="20">
        <v>99</v>
      </c>
      <c r="F24" s="20">
        <v>83</v>
      </c>
      <c r="G24" s="4">
        <f t="shared" si="0"/>
        <v>70.8</v>
      </c>
      <c r="I24" s="85">
        <v>5</v>
      </c>
    </row>
    <row r="25" spans="1:9" x14ac:dyDescent="0.2">
      <c r="A25" s="86" t="s">
        <v>114</v>
      </c>
      <c r="B25" s="20">
        <v>74</v>
      </c>
      <c r="C25" s="20">
        <v>85</v>
      </c>
      <c r="D25" s="20">
        <v>100</v>
      </c>
      <c r="E25" s="20">
        <v>86</v>
      </c>
      <c r="F25" s="20">
        <v>86</v>
      </c>
      <c r="G25" s="4">
        <f t="shared" si="0"/>
        <v>86.2</v>
      </c>
      <c r="I25" s="85">
        <v>2</v>
      </c>
    </row>
    <row r="26" spans="1:9" x14ac:dyDescent="0.2">
      <c r="A26" s="86" t="s">
        <v>106</v>
      </c>
      <c r="B26" s="20">
        <v>46</v>
      </c>
      <c r="C26" s="20">
        <v>78</v>
      </c>
      <c r="D26" s="20">
        <v>100</v>
      </c>
      <c r="E26" s="20">
        <v>92</v>
      </c>
      <c r="F26" s="20">
        <v>86</v>
      </c>
      <c r="G26" s="4">
        <f t="shared" si="0"/>
        <v>80.400000000000006</v>
      </c>
      <c r="I26" s="85">
        <v>3</v>
      </c>
    </row>
    <row r="27" spans="1:9" x14ac:dyDescent="0.2">
      <c r="A27" s="86" t="s">
        <v>108</v>
      </c>
      <c r="B27" s="20">
        <v>53</v>
      </c>
      <c r="C27" s="20">
        <v>19</v>
      </c>
      <c r="D27" s="20">
        <v>100</v>
      </c>
      <c r="E27" s="20">
        <v>99</v>
      </c>
      <c r="F27" s="20">
        <v>83</v>
      </c>
      <c r="G27" s="4">
        <f t="shared" ref="G27" si="1">SUM(B27:F27)/5</f>
        <v>70.8</v>
      </c>
      <c r="I27" s="85">
        <v>5</v>
      </c>
    </row>
    <row r="28" spans="1:9" x14ac:dyDescent="0.2">
      <c r="I28" s="85"/>
    </row>
  </sheetData>
  <sheetProtection selectLockedCells="1" selectUnlockedCells="1"/>
  <mergeCells count="1">
    <mergeCell ref="A1:G1"/>
  </mergeCells>
  <pageMargins left="0.19652777777777777" right="0.19652777777777777" top="0.19652777777777777" bottom="0.19652777777777777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Teoria</vt:lpstr>
      <vt:lpstr>JuegoMesa</vt:lpstr>
      <vt:lpstr>AprendizajeColaborativo</vt:lpstr>
      <vt:lpstr>AprendizajeColaborativo_P1</vt:lpstr>
      <vt:lpstr>AprendizajeColaborativo_P2</vt:lpstr>
      <vt:lpstr>AprendizajeColaborativo_P3</vt:lpstr>
      <vt:lpstr>AprendizajeColaborativo_P4</vt:lpstr>
      <vt:lpstr>AprendizajeColaborativo_P5</vt:lpstr>
      <vt:lpstr>Quices</vt:lpstr>
      <vt:lpstr>Tareas</vt:lpstr>
      <vt:lpstr>Examenes</vt:lpstr>
      <vt:lpstr>Retroalimentacion</vt:lpstr>
      <vt:lpstr>DV-IDENTITY-0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Kryscia</cp:lastModifiedBy>
  <cp:revision>28</cp:revision>
  <cp:lastPrinted>2019-07-12T14:03:42Z</cp:lastPrinted>
  <dcterms:created xsi:type="dcterms:W3CDTF">1601-01-01T00:00:00Z</dcterms:created>
  <dcterms:modified xsi:type="dcterms:W3CDTF">2019-07-12T14:03:48Z</dcterms:modified>
</cp:coreProperties>
</file>