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heckCompatibility="1"/>
  <mc:AlternateContent xmlns:mc="http://schemas.openxmlformats.org/markup-compatibility/2006">
    <mc:Choice Requires="x15">
      <x15ac:absPath xmlns:x15ac="http://schemas.microsoft.com/office/spreadsheetml/2010/11/ac" url="D:\Dropbox\Curso Proba\Notas\"/>
    </mc:Choice>
  </mc:AlternateContent>
  <xr:revisionPtr revIDLastSave="0" documentId="13_ncr:1_{09D91397-8178-4696-A0D1-09EFE5D73DB0}" xr6:coauthVersionLast="45" xr6:coauthVersionMax="45" xr10:uidLastSave="{00000000-0000-0000-0000-000000000000}"/>
  <bookViews>
    <workbookView xWindow="-98" yWindow="-98" windowWidth="22695" windowHeight="14595" tabRatio="541" activeTab="3" xr2:uid="{00000000-000D-0000-FFFF-FFFF00000000}"/>
  </bookViews>
  <sheets>
    <sheet name="Teoria" sheetId="1" r:id="rId1"/>
    <sheet name="Retroalimentacion" sheetId="24" r:id="rId2"/>
    <sheet name="Proyecto" sheetId="11" r:id="rId3"/>
    <sheet name="PortafolioEvidencias" sheetId="20" r:id="rId4"/>
    <sheet name="AprendizajeColaborativo" sheetId="4" r:id="rId5"/>
    <sheet name="AprendizajeColaborativo_P1" sheetId="18" r:id="rId6"/>
    <sheet name="AprendizajeColaborativo_P2" sheetId="21" r:id="rId7"/>
    <sheet name="AprendizajeColaborativo_P3" sheetId="22" r:id="rId8"/>
    <sheet name="AprendizajeColaborativo_P4" sheetId="23" r:id="rId9"/>
    <sheet name="Quices" sheetId="9" r:id="rId10"/>
    <sheet name="Tareas" sheetId="10" r:id="rId11"/>
    <sheet name="Examenes" sheetId="12" r:id="rId12"/>
    <sheet name="DV-IDENTITY-0" sheetId="15" state="hidden" r:id="rId13"/>
  </sheets>
  <externalReferences>
    <externalReference r:id="rId14"/>
  </externalReferences>
  <definedNames>
    <definedName name="Excel_BuiltIn__FilterDatabase" localSheetId="1">[1]Teoria!$A$8:$T$22</definedName>
    <definedName name="Excel_BuiltIn__FilterDatabase">Teoria!$A$8:$T$22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23" l="1"/>
  <c r="C109" i="11" l="1"/>
  <c r="F5" i="9" l="1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4" i="9"/>
  <c r="C79" i="11" l="1"/>
  <c r="D55" i="11"/>
  <c r="R10" i="1" l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9" i="1"/>
  <c r="O65" i="24"/>
  <c r="O66" i="24"/>
  <c r="O67" i="24"/>
  <c r="O68" i="24"/>
  <c r="O69" i="24"/>
  <c r="O70" i="24"/>
  <c r="O71" i="24"/>
  <c r="O72" i="24"/>
  <c r="O73" i="24"/>
  <c r="O74" i="24"/>
  <c r="O75" i="24"/>
  <c r="O76" i="24"/>
  <c r="O77" i="24"/>
  <c r="O78" i="24"/>
  <c r="O79" i="24"/>
  <c r="O80" i="24"/>
  <c r="O81" i="24"/>
  <c r="O82" i="24"/>
  <c r="O83" i="24"/>
  <c r="O84" i="24"/>
  <c r="O85" i="24"/>
  <c r="O86" i="24"/>
  <c r="O87" i="24"/>
  <c r="O88" i="24"/>
  <c r="O89" i="24"/>
  <c r="O90" i="24"/>
  <c r="O64" i="24"/>
  <c r="N92" i="24"/>
  <c r="N35" i="24"/>
  <c r="N36" i="24"/>
  <c r="N37" i="24"/>
  <c r="N38" i="24"/>
  <c r="N39" i="24"/>
  <c r="N40" i="24"/>
  <c r="N41" i="24"/>
  <c r="N42" i="24"/>
  <c r="N43" i="24"/>
  <c r="N44" i="24"/>
  <c r="N45" i="24"/>
  <c r="N46" i="24"/>
  <c r="N47" i="24"/>
  <c r="N48" i="24"/>
  <c r="N49" i="24"/>
  <c r="N50" i="24"/>
  <c r="N51" i="24"/>
  <c r="N52" i="24"/>
  <c r="N53" i="24"/>
  <c r="N54" i="24"/>
  <c r="N55" i="24"/>
  <c r="N56" i="24"/>
  <c r="N57" i="24"/>
  <c r="N58" i="24"/>
  <c r="N59" i="24"/>
  <c r="N60" i="24"/>
  <c r="N34" i="24"/>
  <c r="C98" i="10" l="1"/>
  <c r="G23" i="21" l="1"/>
  <c r="B55" i="22"/>
  <c r="B54" i="22"/>
  <c r="C49" i="22"/>
  <c r="H6" i="21" l="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4" i="21"/>
  <c r="C50" i="10"/>
  <c r="C80" i="10"/>
  <c r="D79" i="10"/>
  <c r="K5" i="21" l="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4" i="21"/>
  <c r="J4" i="21"/>
  <c r="I5" i="21"/>
  <c r="I6" i="21"/>
  <c r="I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4" i="21"/>
  <c r="C49" i="21"/>
  <c r="C42" i="21"/>
  <c r="N10" i="1" l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J5" i="18" l="1"/>
  <c r="K5" i="18"/>
  <c r="J6" i="18"/>
  <c r="K6" i="18"/>
  <c r="J7" i="18"/>
  <c r="K7" i="18"/>
  <c r="J8" i="18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K4" i="18"/>
  <c r="J4" i="18"/>
  <c r="I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4" i="18"/>
  <c r="F64" i="18"/>
  <c r="E59" i="18" l="1"/>
  <c r="E52" i="18"/>
  <c r="D51" i="18"/>
  <c r="E50" i="18"/>
  <c r="E49" i="18"/>
  <c r="C49" i="18"/>
  <c r="C42" i="18"/>
  <c r="E41" i="18"/>
  <c r="B41" i="18"/>
  <c r="E37" i="18"/>
  <c r="D37" i="18"/>
  <c r="B37" i="18"/>
  <c r="H5" i="24" l="1"/>
  <c r="B10" i="1" s="1"/>
  <c r="H6" i="24"/>
  <c r="B11" i="1" s="1"/>
  <c r="H7" i="24"/>
  <c r="B12" i="1" s="1"/>
  <c r="H8" i="24"/>
  <c r="B13" i="1" s="1"/>
  <c r="H9" i="24"/>
  <c r="B14" i="1" s="1"/>
  <c r="H10" i="24"/>
  <c r="B15" i="1" s="1"/>
  <c r="H11" i="24"/>
  <c r="B16" i="1" s="1"/>
  <c r="H12" i="24"/>
  <c r="B17" i="1" s="1"/>
  <c r="H13" i="24"/>
  <c r="B18" i="1" s="1"/>
  <c r="H14" i="24"/>
  <c r="B19" i="1" s="1"/>
  <c r="H15" i="24"/>
  <c r="B20" i="1" s="1"/>
  <c r="H16" i="24"/>
  <c r="B21" i="1" s="1"/>
  <c r="H17" i="24"/>
  <c r="B22" i="1" s="1"/>
  <c r="H18" i="24"/>
  <c r="B23" i="1" s="1"/>
  <c r="H19" i="24"/>
  <c r="B24" i="1" s="1"/>
  <c r="H20" i="24"/>
  <c r="B25" i="1" s="1"/>
  <c r="H21" i="24"/>
  <c r="B26" i="1" s="1"/>
  <c r="H22" i="24"/>
  <c r="B27" i="1" s="1"/>
  <c r="H23" i="24"/>
  <c r="B28" i="1" s="1"/>
  <c r="H24" i="24"/>
  <c r="B29" i="1" s="1"/>
  <c r="H25" i="24"/>
  <c r="B30" i="1" s="1"/>
  <c r="H26" i="24"/>
  <c r="B31" i="1" s="1"/>
  <c r="H27" i="24"/>
  <c r="B32" i="1" s="1"/>
  <c r="H28" i="24"/>
  <c r="B33" i="1" s="1"/>
  <c r="H29" i="24"/>
  <c r="B34" i="1" s="1"/>
  <c r="H30" i="24"/>
  <c r="B35" i="1" s="1"/>
  <c r="H4" i="24"/>
  <c r="N65" i="24" l="1"/>
  <c r="N66" i="24"/>
  <c r="N67" i="24"/>
  <c r="N68" i="24"/>
  <c r="N69" i="24"/>
  <c r="N70" i="24"/>
  <c r="N71" i="24"/>
  <c r="N72" i="24"/>
  <c r="N73" i="24"/>
  <c r="N74" i="24"/>
  <c r="N75" i="24"/>
  <c r="N76" i="24"/>
  <c r="N77" i="24"/>
  <c r="N78" i="24"/>
  <c r="N79" i="24"/>
  <c r="N80" i="24"/>
  <c r="N81" i="24"/>
  <c r="N82" i="24"/>
  <c r="N83" i="24"/>
  <c r="N84" i="24"/>
  <c r="N85" i="24"/>
  <c r="N86" i="24"/>
  <c r="N87" i="24"/>
  <c r="N88" i="24"/>
  <c r="N89" i="24"/>
  <c r="N90" i="24"/>
  <c r="N64" i="24"/>
  <c r="S10" i="18" l="1"/>
  <c r="S4" i="18"/>
  <c r="R11" i="21"/>
  <c r="S10" i="21" s="1"/>
  <c r="R11" i="18"/>
  <c r="S5" i="18" s="1"/>
  <c r="K5" i="20"/>
  <c r="K11" i="20" s="1"/>
  <c r="K6" i="20"/>
  <c r="K7" i="20"/>
  <c r="K8" i="20"/>
  <c r="K9" i="20"/>
  <c r="K10" i="20"/>
  <c r="K4" i="20"/>
  <c r="J11" i="20"/>
  <c r="S9" i="18" l="1"/>
  <c r="S8" i="18"/>
  <c r="S7" i="18"/>
  <c r="S6" i="18"/>
  <c r="S11" i="18" s="1"/>
  <c r="S9" i="21"/>
  <c r="S8" i="21"/>
  <c r="S6" i="21"/>
  <c r="S5" i="21"/>
  <c r="S7" i="21"/>
  <c r="S4" i="21"/>
  <c r="J6" i="23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F36" i="23"/>
  <c r="L6" i="23" s="1"/>
  <c r="F37" i="23"/>
  <c r="L7" i="23" s="1"/>
  <c r="F38" i="23"/>
  <c r="L8" i="23" s="1"/>
  <c r="F39" i="23"/>
  <c r="L9" i="23" s="1"/>
  <c r="F40" i="23"/>
  <c r="L10" i="23" s="1"/>
  <c r="F41" i="23"/>
  <c r="L11" i="23" s="1"/>
  <c r="F42" i="23"/>
  <c r="L12" i="23" s="1"/>
  <c r="F43" i="23"/>
  <c r="L13" i="23" s="1"/>
  <c r="F44" i="23"/>
  <c r="L14" i="23" s="1"/>
  <c r="F45" i="23"/>
  <c r="L15" i="23" s="1"/>
  <c r="F46" i="23"/>
  <c r="L16" i="23" s="1"/>
  <c r="F47" i="23"/>
  <c r="L17" i="23" s="1"/>
  <c r="F48" i="23"/>
  <c r="L18" i="23" s="1"/>
  <c r="F49" i="23"/>
  <c r="L19" i="23" s="1"/>
  <c r="F50" i="23"/>
  <c r="L20" i="23" s="1"/>
  <c r="F51" i="23"/>
  <c r="L21" i="23" s="1"/>
  <c r="F52" i="23"/>
  <c r="L22" i="23" s="1"/>
  <c r="F53" i="23"/>
  <c r="L23" i="23" s="1"/>
  <c r="F54" i="23"/>
  <c r="L24" i="23" s="1"/>
  <c r="F55" i="23"/>
  <c r="L25" i="23" s="1"/>
  <c r="F56" i="23"/>
  <c r="L26" i="23" s="1"/>
  <c r="F57" i="23"/>
  <c r="L27" i="23" s="1"/>
  <c r="F58" i="23"/>
  <c r="L28" i="23" s="1"/>
  <c r="F59" i="23"/>
  <c r="L29" i="23" s="1"/>
  <c r="F60" i="23"/>
  <c r="L30" i="23" s="1"/>
  <c r="P66" i="23"/>
  <c r="H6" i="23" s="1"/>
  <c r="I6" i="23" s="1"/>
  <c r="P67" i="23"/>
  <c r="H7" i="23" s="1"/>
  <c r="K7" i="23" s="1"/>
  <c r="P68" i="23"/>
  <c r="H8" i="23" s="1"/>
  <c r="P69" i="23"/>
  <c r="H9" i="23" s="1"/>
  <c r="P70" i="23"/>
  <c r="H10" i="23" s="1"/>
  <c r="I10" i="23" s="1"/>
  <c r="P71" i="23"/>
  <c r="H11" i="23" s="1"/>
  <c r="K11" i="23" s="1"/>
  <c r="P72" i="23"/>
  <c r="H12" i="23" s="1"/>
  <c r="P73" i="23"/>
  <c r="H13" i="23" s="1"/>
  <c r="I13" i="23" s="1"/>
  <c r="P74" i="23"/>
  <c r="H14" i="23" s="1"/>
  <c r="I14" i="23" s="1"/>
  <c r="P75" i="23"/>
  <c r="H15" i="23" s="1"/>
  <c r="K15" i="23" s="1"/>
  <c r="P76" i="23"/>
  <c r="H16" i="23" s="1"/>
  <c r="P77" i="23"/>
  <c r="H17" i="23" s="1"/>
  <c r="P78" i="23"/>
  <c r="H18" i="23" s="1"/>
  <c r="I18" i="23" s="1"/>
  <c r="P79" i="23"/>
  <c r="H19" i="23" s="1"/>
  <c r="K19" i="23" s="1"/>
  <c r="P80" i="23"/>
  <c r="H20" i="23" s="1"/>
  <c r="P81" i="23"/>
  <c r="H21" i="23" s="1"/>
  <c r="P82" i="23"/>
  <c r="H22" i="23" s="1"/>
  <c r="I22" i="23" s="1"/>
  <c r="P83" i="23"/>
  <c r="H23" i="23" s="1"/>
  <c r="K23" i="23" s="1"/>
  <c r="P84" i="23"/>
  <c r="H24" i="23" s="1"/>
  <c r="K24" i="23" s="1"/>
  <c r="P85" i="23"/>
  <c r="H25" i="23" s="1"/>
  <c r="I25" i="23" s="1"/>
  <c r="P86" i="23"/>
  <c r="H26" i="23" s="1"/>
  <c r="I26" i="23" s="1"/>
  <c r="P87" i="23"/>
  <c r="H27" i="23" s="1"/>
  <c r="K27" i="23" s="1"/>
  <c r="P88" i="23"/>
  <c r="H28" i="23" s="1"/>
  <c r="P89" i="23"/>
  <c r="H29" i="23" s="1"/>
  <c r="P90" i="23"/>
  <c r="H30" i="23" s="1"/>
  <c r="I30" i="23" s="1"/>
  <c r="J6" i="22"/>
  <c r="J7" i="22"/>
  <c r="J8" i="22"/>
  <c r="J9" i="22"/>
  <c r="J10" i="22"/>
  <c r="J11" i="22"/>
  <c r="J12" i="22"/>
  <c r="J13" i="22"/>
  <c r="J14" i="22"/>
  <c r="L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L66" i="22"/>
  <c r="H6" i="22" s="1"/>
  <c r="I6" i="22" s="1"/>
  <c r="L67" i="22"/>
  <c r="H7" i="22" s="1"/>
  <c r="L68" i="22"/>
  <c r="H8" i="22" s="1"/>
  <c r="L69" i="22"/>
  <c r="H9" i="22" s="1"/>
  <c r="I9" i="22" s="1"/>
  <c r="L70" i="22"/>
  <c r="H10" i="22" s="1"/>
  <c r="I10" i="22" s="1"/>
  <c r="L71" i="22"/>
  <c r="H11" i="22" s="1"/>
  <c r="K11" i="22" s="1"/>
  <c r="L72" i="22"/>
  <c r="H12" i="22" s="1"/>
  <c r="L73" i="22"/>
  <c r="H13" i="22" s="1"/>
  <c r="I13" i="22" s="1"/>
  <c r="L74" i="22"/>
  <c r="H14" i="22" s="1"/>
  <c r="I14" i="22" s="1"/>
  <c r="L75" i="22"/>
  <c r="H15" i="22" s="1"/>
  <c r="L76" i="22"/>
  <c r="H16" i="22" s="1"/>
  <c r="L77" i="22"/>
  <c r="H17" i="22" s="1"/>
  <c r="I17" i="22" s="1"/>
  <c r="L78" i="22"/>
  <c r="H18" i="22" s="1"/>
  <c r="I18" i="22" s="1"/>
  <c r="L79" i="22"/>
  <c r="H19" i="22" s="1"/>
  <c r="L80" i="22"/>
  <c r="H20" i="22" s="1"/>
  <c r="I20" i="22" s="1"/>
  <c r="L81" i="22"/>
  <c r="H21" i="22" s="1"/>
  <c r="I21" i="22" s="1"/>
  <c r="L82" i="22"/>
  <c r="H22" i="22" s="1"/>
  <c r="I22" i="22" s="1"/>
  <c r="L83" i="22"/>
  <c r="H23" i="22" s="1"/>
  <c r="L84" i="22"/>
  <c r="H24" i="22" s="1"/>
  <c r="L85" i="22"/>
  <c r="H25" i="22" s="1"/>
  <c r="I25" i="22" s="1"/>
  <c r="L86" i="22"/>
  <c r="H26" i="22" s="1"/>
  <c r="I26" i="22" s="1"/>
  <c r="L87" i="22"/>
  <c r="H27" i="22" s="1"/>
  <c r="K27" i="22" s="1"/>
  <c r="L88" i="22"/>
  <c r="H28" i="22" s="1"/>
  <c r="L89" i="22"/>
  <c r="H29" i="22" s="1"/>
  <c r="I29" i="22" s="1"/>
  <c r="L90" i="22"/>
  <c r="H30" i="22" s="1"/>
  <c r="I30" i="22" s="1"/>
  <c r="F36" i="22"/>
  <c r="L6" i="22" s="1"/>
  <c r="F37" i="22"/>
  <c r="L7" i="22" s="1"/>
  <c r="F38" i="22"/>
  <c r="L8" i="22" s="1"/>
  <c r="F39" i="22"/>
  <c r="L9" i="22" s="1"/>
  <c r="F40" i="22"/>
  <c r="L10" i="22" s="1"/>
  <c r="F41" i="22"/>
  <c r="L11" i="22" s="1"/>
  <c r="F42" i="22"/>
  <c r="L12" i="22" s="1"/>
  <c r="F43" i="22"/>
  <c r="L13" i="22" s="1"/>
  <c r="F44" i="22"/>
  <c r="F45" i="22"/>
  <c r="L15" i="22" s="1"/>
  <c r="F46" i="22"/>
  <c r="L16" i="22" s="1"/>
  <c r="F47" i="22"/>
  <c r="L17" i="22" s="1"/>
  <c r="F48" i="22"/>
  <c r="L18" i="22" s="1"/>
  <c r="F49" i="22"/>
  <c r="L19" i="22" s="1"/>
  <c r="F50" i="22"/>
  <c r="L20" i="22" s="1"/>
  <c r="F51" i="22"/>
  <c r="L21" i="22" s="1"/>
  <c r="F52" i="22"/>
  <c r="L22" i="22" s="1"/>
  <c r="F53" i="22"/>
  <c r="L23" i="22" s="1"/>
  <c r="F54" i="22"/>
  <c r="L24" i="22" s="1"/>
  <c r="F55" i="22"/>
  <c r="L25" i="22" s="1"/>
  <c r="F56" i="22"/>
  <c r="L26" i="22" s="1"/>
  <c r="F57" i="22"/>
  <c r="L27" i="22" s="1"/>
  <c r="F58" i="22"/>
  <c r="L28" i="22" s="1"/>
  <c r="F59" i="22"/>
  <c r="L29" i="22" s="1"/>
  <c r="F60" i="22"/>
  <c r="L30" i="22" s="1"/>
  <c r="J6" i="21"/>
  <c r="J7" i="21"/>
  <c r="J8" i="21"/>
  <c r="J9" i="21"/>
  <c r="L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L24" i="21"/>
  <c r="J25" i="21"/>
  <c r="J26" i="21"/>
  <c r="J27" i="21"/>
  <c r="J28" i="21"/>
  <c r="J29" i="21"/>
  <c r="J30" i="21"/>
  <c r="F36" i="21"/>
  <c r="L6" i="21" s="1"/>
  <c r="F37" i="21"/>
  <c r="L7" i="21" s="1"/>
  <c r="F38" i="21"/>
  <c r="L8" i="21" s="1"/>
  <c r="F39" i="21"/>
  <c r="F40" i="21"/>
  <c r="L10" i="21" s="1"/>
  <c r="F41" i="21"/>
  <c r="L11" i="21" s="1"/>
  <c r="F42" i="21"/>
  <c r="L12" i="21" s="1"/>
  <c r="F43" i="21"/>
  <c r="L13" i="21" s="1"/>
  <c r="F44" i="21"/>
  <c r="L14" i="21" s="1"/>
  <c r="F45" i="21"/>
  <c r="L15" i="21" s="1"/>
  <c r="F46" i="21"/>
  <c r="L16" i="21" s="1"/>
  <c r="F47" i="21"/>
  <c r="L17" i="21" s="1"/>
  <c r="F48" i="21"/>
  <c r="L18" i="21" s="1"/>
  <c r="F49" i="21"/>
  <c r="L19" i="21" s="1"/>
  <c r="F50" i="21"/>
  <c r="L20" i="21" s="1"/>
  <c r="F51" i="21"/>
  <c r="L21" i="21" s="1"/>
  <c r="F52" i="21"/>
  <c r="L22" i="21" s="1"/>
  <c r="F53" i="21"/>
  <c r="L23" i="21" s="1"/>
  <c r="F54" i="21"/>
  <c r="F55" i="21"/>
  <c r="L25" i="21" s="1"/>
  <c r="F56" i="21"/>
  <c r="L26" i="21" s="1"/>
  <c r="F57" i="21"/>
  <c r="L27" i="21" s="1"/>
  <c r="F58" i="21"/>
  <c r="L28" i="21" s="1"/>
  <c r="F59" i="21"/>
  <c r="L29" i="21" s="1"/>
  <c r="F60" i="21"/>
  <c r="L30" i="21" s="1"/>
  <c r="F66" i="21"/>
  <c r="F67" i="21"/>
  <c r="F68" i="21"/>
  <c r="F69" i="21"/>
  <c r="F70" i="21"/>
  <c r="F71" i="21"/>
  <c r="F72" i="21"/>
  <c r="F73" i="21"/>
  <c r="F74" i="21"/>
  <c r="F75" i="21"/>
  <c r="F76" i="21"/>
  <c r="F77" i="21"/>
  <c r="F78" i="21"/>
  <c r="F79" i="21"/>
  <c r="F80" i="21"/>
  <c r="F81" i="21"/>
  <c r="F82" i="21"/>
  <c r="F83" i="21"/>
  <c r="F84" i="21"/>
  <c r="F85" i="21"/>
  <c r="F86" i="21"/>
  <c r="F87" i="21"/>
  <c r="F88" i="21"/>
  <c r="F89" i="21"/>
  <c r="F90" i="21"/>
  <c r="H19" i="18"/>
  <c r="H25" i="18"/>
  <c r="F35" i="18"/>
  <c r="F36" i="18"/>
  <c r="L6" i="18" s="1"/>
  <c r="F37" i="18"/>
  <c r="L7" i="18" s="1"/>
  <c r="F38" i="18"/>
  <c r="L8" i="18" s="1"/>
  <c r="F39" i="18"/>
  <c r="L9" i="18" s="1"/>
  <c r="F40" i="18"/>
  <c r="L10" i="18" s="1"/>
  <c r="F41" i="18"/>
  <c r="L11" i="18" s="1"/>
  <c r="F42" i="18"/>
  <c r="L12" i="18" s="1"/>
  <c r="F43" i="18"/>
  <c r="L13" i="18" s="1"/>
  <c r="F44" i="18"/>
  <c r="L14" i="18" s="1"/>
  <c r="F45" i="18"/>
  <c r="L15" i="18" s="1"/>
  <c r="F46" i="18"/>
  <c r="L16" i="18" s="1"/>
  <c r="F47" i="18"/>
  <c r="L17" i="18" s="1"/>
  <c r="F48" i="18"/>
  <c r="L18" i="18" s="1"/>
  <c r="F49" i="18"/>
  <c r="L19" i="18" s="1"/>
  <c r="F50" i="18"/>
  <c r="L20" i="18" s="1"/>
  <c r="F51" i="18"/>
  <c r="L21" i="18" s="1"/>
  <c r="F52" i="18"/>
  <c r="L22" i="18" s="1"/>
  <c r="F53" i="18"/>
  <c r="L23" i="18" s="1"/>
  <c r="F54" i="18"/>
  <c r="L24" i="18" s="1"/>
  <c r="F55" i="18"/>
  <c r="L25" i="18" s="1"/>
  <c r="F56" i="18"/>
  <c r="L26" i="18" s="1"/>
  <c r="F57" i="18"/>
  <c r="L27" i="18" s="1"/>
  <c r="F58" i="18"/>
  <c r="L28" i="18" s="1"/>
  <c r="F59" i="18"/>
  <c r="L29" i="18" s="1"/>
  <c r="F60" i="18"/>
  <c r="L30" i="18" s="1"/>
  <c r="F66" i="18"/>
  <c r="H6" i="18" s="1"/>
  <c r="F67" i="18"/>
  <c r="H7" i="18" s="1"/>
  <c r="F68" i="18"/>
  <c r="H8" i="18" s="1"/>
  <c r="F69" i="18"/>
  <c r="H9" i="18" s="1"/>
  <c r="F70" i="18"/>
  <c r="H10" i="18" s="1"/>
  <c r="F71" i="18"/>
  <c r="H11" i="18" s="1"/>
  <c r="F72" i="18"/>
  <c r="H12" i="18" s="1"/>
  <c r="F73" i="18"/>
  <c r="H13" i="18" s="1"/>
  <c r="F74" i="18"/>
  <c r="H14" i="18" s="1"/>
  <c r="F75" i="18"/>
  <c r="H15" i="18" s="1"/>
  <c r="F76" i="18"/>
  <c r="H16" i="18" s="1"/>
  <c r="F77" i="18"/>
  <c r="H17" i="18" s="1"/>
  <c r="F78" i="18"/>
  <c r="H18" i="18" s="1"/>
  <c r="F79" i="18"/>
  <c r="F80" i="18"/>
  <c r="H20" i="18" s="1"/>
  <c r="F81" i="18"/>
  <c r="H21" i="18" s="1"/>
  <c r="F82" i="18"/>
  <c r="H22" i="18" s="1"/>
  <c r="F83" i="18"/>
  <c r="H23" i="18" s="1"/>
  <c r="F84" i="18"/>
  <c r="H24" i="18" s="1"/>
  <c r="F85" i="18"/>
  <c r="F86" i="18"/>
  <c r="H26" i="18" s="1"/>
  <c r="F87" i="18"/>
  <c r="H27" i="18" s="1"/>
  <c r="F88" i="18"/>
  <c r="H28" i="18" s="1"/>
  <c r="F89" i="18"/>
  <c r="H29" i="18" s="1"/>
  <c r="F90" i="18"/>
  <c r="H30" i="18" s="1"/>
  <c r="I36" i="20"/>
  <c r="B6" i="20" s="1"/>
  <c r="I37" i="20"/>
  <c r="B7" i="20" s="1"/>
  <c r="I38" i="20"/>
  <c r="B8" i="20" s="1"/>
  <c r="I39" i="20"/>
  <c r="B9" i="20" s="1"/>
  <c r="I40" i="20"/>
  <c r="B10" i="20" s="1"/>
  <c r="I41" i="20"/>
  <c r="B11" i="20" s="1"/>
  <c r="I42" i="20"/>
  <c r="B12" i="20" s="1"/>
  <c r="I43" i="20"/>
  <c r="B13" i="20" s="1"/>
  <c r="I44" i="20"/>
  <c r="B14" i="20" s="1"/>
  <c r="I45" i="20"/>
  <c r="B15" i="20" s="1"/>
  <c r="I46" i="20"/>
  <c r="B16" i="20" s="1"/>
  <c r="I47" i="20"/>
  <c r="B17" i="20" s="1"/>
  <c r="I48" i="20"/>
  <c r="B18" i="20" s="1"/>
  <c r="I49" i="20"/>
  <c r="B19" i="20" s="1"/>
  <c r="I50" i="20"/>
  <c r="B20" i="20" s="1"/>
  <c r="I51" i="20"/>
  <c r="B21" i="20" s="1"/>
  <c r="I52" i="20"/>
  <c r="B22" i="20" s="1"/>
  <c r="I53" i="20"/>
  <c r="B23" i="20" s="1"/>
  <c r="I54" i="20"/>
  <c r="B24" i="20" s="1"/>
  <c r="I55" i="20"/>
  <c r="B25" i="20" s="1"/>
  <c r="I56" i="20"/>
  <c r="B26" i="20" s="1"/>
  <c r="I57" i="20"/>
  <c r="B27" i="20" s="1"/>
  <c r="I58" i="20"/>
  <c r="B28" i="20" s="1"/>
  <c r="I59" i="20"/>
  <c r="B29" i="20" s="1"/>
  <c r="I60" i="20"/>
  <c r="B30" i="20" s="1"/>
  <c r="I66" i="20"/>
  <c r="C6" i="20" s="1"/>
  <c r="I67" i="20"/>
  <c r="C7" i="20" s="1"/>
  <c r="I68" i="20"/>
  <c r="C8" i="20" s="1"/>
  <c r="I69" i="20"/>
  <c r="C9" i="20" s="1"/>
  <c r="I70" i="20"/>
  <c r="C10" i="20" s="1"/>
  <c r="I71" i="20"/>
  <c r="C11" i="20" s="1"/>
  <c r="I72" i="20"/>
  <c r="C12" i="20" s="1"/>
  <c r="I73" i="20"/>
  <c r="C13" i="20" s="1"/>
  <c r="I74" i="20"/>
  <c r="C14" i="20" s="1"/>
  <c r="I75" i="20"/>
  <c r="C15" i="20" s="1"/>
  <c r="I76" i="20"/>
  <c r="C16" i="20" s="1"/>
  <c r="I77" i="20"/>
  <c r="C17" i="20" s="1"/>
  <c r="I78" i="20"/>
  <c r="C18" i="20" s="1"/>
  <c r="I79" i="20"/>
  <c r="C19" i="20" s="1"/>
  <c r="I80" i="20"/>
  <c r="C20" i="20" s="1"/>
  <c r="I81" i="20"/>
  <c r="C21" i="20" s="1"/>
  <c r="I82" i="20"/>
  <c r="C22" i="20" s="1"/>
  <c r="I83" i="20"/>
  <c r="C23" i="20" s="1"/>
  <c r="I84" i="20"/>
  <c r="C24" i="20" s="1"/>
  <c r="I85" i="20"/>
  <c r="C25" i="20" s="1"/>
  <c r="I86" i="20"/>
  <c r="C26" i="20" s="1"/>
  <c r="I87" i="20"/>
  <c r="C27" i="20" s="1"/>
  <c r="I88" i="20"/>
  <c r="C28" i="20" s="1"/>
  <c r="I89" i="20"/>
  <c r="C29" i="20" s="1"/>
  <c r="I90" i="20"/>
  <c r="C30" i="20" s="1"/>
  <c r="I96" i="20"/>
  <c r="D6" i="20" s="1"/>
  <c r="I97" i="20"/>
  <c r="D7" i="20" s="1"/>
  <c r="I98" i="20"/>
  <c r="D8" i="20" s="1"/>
  <c r="I99" i="20"/>
  <c r="D9" i="20" s="1"/>
  <c r="I100" i="20"/>
  <c r="D10" i="20" s="1"/>
  <c r="I101" i="20"/>
  <c r="D11" i="20" s="1"/>
  <c r="I102" i="20"/>
  <c r="D12" i="20" s="1"/>
  <c r="I103" i="20"/>
  <c r="D13" i="20" s="1"/>
  <c r="I104" i="20"/>
  <c r="D14" i="20" s="1"/>
  <c r="I105" i="20"/>
  <c r="D15" i="20" s="1"/>
  <c r="I106" i="20"/>
  <c r="D16" i="20" s="1"/>
  <c r="I107" i="20"/>
  <c r="D17" i="20" s="1"/>
  <c r="I108" i="20"/>
  <c r="D18" i="20" s="1"/>
  <c r="I109" i="20"/>
  <c r="D19" i="20" s="1"/>
  <c r="I110" i="20"/>
  <c r="D20" i="20" s="1"/>
  <c r="I111" i="20"/>
  <c r="D21" i="20" s="1"/>
  <c r="I112" i="20"/>
  <c r="D22" i="20" s="1"/>
  <c r="I113" i="20"/>
  <c r="D23" i="20" s="1"/>
  <c r="I114" i="20"/>
  <c r="D24" i="20" s="1"/>
  <c r="I115" i="20"/>
  <c r="D25" i="20" s="1"/>
  <c r="I116" i="20"/>
  <c r="D26" i="20" s="1"/>
  <c r="I117" i="20"/>
  <c r="D27" i="20" s="1"/>
  <c r="I118" i="20"/>
  <c r="D28" i="20" s="1"/>
  <c r="I119" i="20"/>
  <c r="D29" i="20" s="1"/>
  <c r="I120" i="20"/>
  <c r="D30" i="20" s="1"/>
  <c r="I20" i="11"/>
  <c r="J20" i="11" s="1"/>
  <c r="I28" i="11"/>
  <c r="J28" i="11" s="1"/>
  <c r="F36" i="11"/>
  <c r="C6" i="11" s="1"/>
  <c r="D6" i="11" s="1"/>
  <c r="F37" i="11"/>
  <c r="C7" i="11" s="1"/>
  <c r="D7" i="11" s="1"/>
  <c r="F38" i="11"/>
  <c r="C8" i="11" s="1"/>
  <c r="D8" i="11" s="1"/>
  <c r="F39" i="11"/>
  <c r="C9" i="11" s="1"/>
  <c r="D9" i="11" s="1"/>
  <c r="F40" i="11"/>
  <c r="C10" i="11" s="1"/>
  <c r="D10" i="11" s="1"/>
  <c r="F41" i="11"/>
  <c r="C11" i="11" s="1"/>
  <c r="D11" i="11" s="1"/>
  <c r="F42" i="11"/>
  <c r="C12" i="11" s="1"/>
  <c r="D12" i="11" s="1"/>
  <c r="F43" i="11"/>
  <c r="C13" i="11" s="1"/>
  <c r="D13" i="11" s="1"/>
  <c r="F44" i="11"/>
  <c r="C14" i="11" s="1"/>
  <c r="D14" i="11" s="1"/>
  <c r="F45" i="11"/>
  <c r="C15" i="11" s="1"/>
  <c r="D15" i="11" s="1"/>
  <c r="F46" i="11"/>
  <c r="C16" i="11" s="1"/>
  <c r="D16" i="11" s="1"/>
  <c r="F47" i="11"/>
  <c r="C17" i="11" s="1"/>
  <c r="D17" i="11" s="1"/>
  <c r="F48" i="11"/>
  <c r="C18" i="11" s="1"/>
  <c r="D18" i="11" s="1"/>
  <c r="F49" i="11"/>
  <c r="C19" i="11" s="1"/>
  <c r="D19" i="11" s="1"/>
  <c r="F50" i="11"/>
  <c r="C20" i="11" s="1"/>
  <c r="D20" i="11" s="1"/>
  <c r="F51" i="11"/>
  <c r="C21" i="11" s="1"/>
  <c r="D21" i="11" s="1"/>
  <c r="F52" i="11"/>
  <c r="C22" i="11" s="1"/>
  <c r="D22" i="11" s="1"/>
  <c r="F53" i="11"/>
  <c r="C23" i="11" s="1"/>
  <c r="D23" i="11" s="1"/>
  <c r="F54" i="11"/>
  <c r="C24" i="11" s="1"/>
  <c r="D24" i="11" s="1"/>
  <c r="F55" i="11"/>
  <c r="C25" i="11" s="1"/>
  <c r="D25" i="11" s="1"/>
  <c r="F56" i="11"/>
  <c r="C26" i="11" s="1"/>
  <c r="D26" i="11" s="1"/>
  <c r="F57" i="11"/>
  <c r="C27" i="11" s="1"/>
  <c r="D27" i="11" s="1"/>
  <c r="F58" i="11"/>
  <c r="C28" i="11" s="1"/>
  <c r="D28" i="11" s="1"/>
  <c r="F59" i="11"/>
  <c r="C29" i="11" s="1"/>
  <c r="D29" i="11" s="1"/>
  <c r="F60" i="11"/>
  <c r="C30" i="11" s="1"/>
  <c r="D30" i="11" s="1"/>
  <c r="F66" i="11"/>
  <c r="F6" i="11" s="1"/>
  <c r="G6" i="11" s="1"/>
  <c r="F67" i="11"/>
  <c r="F7" i="11" s="1"/>
  <c r="G7" i="11" s="1"/>
  <c r="F68" i="11"/>
  <c r="F8" i="11" s="1"/>
  <c r="G8" i="11" s="1"/>
  <c r="F69" i="11"/>
  <c r="F9" i="11" s="1"/>
  <c r="G9" i="11" s="1"/>
  <c r="F70" i="11"/>
  <c r="F10" i="11" s="1"/>
  <c r="G10" i="11" s="1"/>
  <c r="F71" i="11"/>
  <c r="F11" i="11" s="1"/>
  <c r="G11" i="11" s="1"/>
  <c r="F72" i="11"/>
  <c r="F12" i="11" s="1"/>
  <c r="G12" i="11" s="1"/>
  <c r="F73" i="11"/>
  <c r="F13" i="11" s="1"/>
  <c r="G13" i="11" s="1"/>
  <c r="F74" i="11"/>
  <c r="F14" i="11" s="1"/>
  <c r="G14" i="11" s="1"/>
  <c r="F75" i="11"/>
  <c r="F15" i="11" s="1"/>
  <c r="G15" i="11" s="1"/>
  <c r="F76" i="11"/>
  <c r="F16" i="11" s="1"/>
  <c r="G16" i="11" s="1"/>
  <c r="F77" i="11"/>
  <c r="F17" i="11" s="1"/>
  <c r="G17" i="11" s="1"/>
  <c r="F78" i="11"/>
  <c r="F18" i="11" s="1"/>
  <c r="G18" i="11" s="1"/>
  <c r="F79" i="11"/>
  <c r="F19" i="11" s="1"/>
  <c r="G19" i="11" s="1"/>
  <c r="F80" i="11"/>
  <c r="F20" i="11" s="1"/>
  <c r="G20" i="11" s="1"/>
  <c r="F81" i="11"/>
  <c r="F21" i="11" s="1"/>
  <c r="G21" i="11" s="1"/>
  <c r="F82" i="11"/>
  <c r="F22" i="11" s="1"/>
  <c r="G22" i="11" s="1"/>
  <c r="F83" i="11"/>
  <c r="F23" i="11" s="1"/>
  <c r="G23" i="11" s="1"/>
  <c r="F84" i="11"/>
  <c r="F24" i="11" s="1"/>
  <c r="G24" i="11" s="1"/>
  <c r="F85" i="11"/>
  <c r="F25" i="11" s="1"/>
  <c r="G25" i="11" s="1"/>
  <c r="F86" i="11"/>
  <c r="F26" i="11" s="1"/>
  <c r="G26" i="11" s="1"/>
  <c r="F87" i="11"/>
  <c r="F27" i="11" s="1"/>
  <c r="G27" i="11" s="1"/>
  <c r="F88" i="11"/>
  <c r="F28" i="11" s="1"/>
  <c r="G28" i="11" s="1"/>
  <c r="F89" i="11"/>
  <c r="F29" i="11" s="1"/>
  <c r="G29" i="11" s="1"/>
  <c r="F90" i="11"/>
  <c r="F30" i="11" s="1"/>
  <c r="G30" i="11" s="1"/>
  <c r="F96" i="11"/>
  <c r="I6" i="11" s="1"/>
  <c r="J6" i="11" s="1"/>
  <c r="F97" i="11"/>
  <c r="I7" i="11" s="1"/>
  <c r="J7" i="11" s="1"/>
  <c r="F98" i="11"/>
  <c r="I8" i="11" s="1"/>
  <c r="J8" i="11" s="1"/>
  <c r="F99" i="11"/>
  <c r="I9" i="11" s="1"/>
  <c r="J9" i="11" s="1"/>
  <c r="F100" i="11"/>
  <c r="I10" i="11" s="1"/>
  <c r="J10" i="11" s="1"/>
  <c r="F101" i="11"/>
  <c r="I11" i="11" s="1"/>
  <c r="J11" i="11" s="1"/>
  <c r="F102" i="11"/>
  <c r="I12" i="11" s="1"/>
  <c r="J12" i="11" s="1"/>
  <c r="F103" i="11"/>
  <c r="I13" i="11" s="1"/>
  <c r="J13" i="11" s="1"/>
  <c r="F104" i="11"/>
  <c r="I14" i="11" s="1"/>
  <c r="J14" i="11" s="1"/>
  <c r="F105" i="11"/>
  <c r="I15" i="11" s="1"/>
  <c r="J15" i="11" s="1"/>
  <c r="F106" i="11"/>
  <c r="I16" i="11" s="1"/>
  <c r="J16" i="11" s="1"/>
  <c r="F107" i="11"/>
  <c r="I17" i="11" s="1"/>
  <c r="J17" i="11" s="1"/>
  <c r="F108" i="11"/>
  <c r="I18" i="11" s="1"/>
  <c r="J18" i="11" s="1"/>
  <c r="F109" i="11"/>
  <c r="I19" i="11" s="1"/>
  <c r="J19" i="11" s="1"/>
  <c r="F110" i="11"/>
  <c r="F111" i="11"/>
  <c r="I21" i="11" s="1"/>
  <c r="J21" i="11" s="1"/>
  <c r="F112" i="11"/>
  <c r="I22" i="11" s="1"/>
  <c r="J22" i="11" s="1"/>
  <c r="F113" i="11"/>
  <c r="I23" i="11" s="1"/>
  <c r="J23" i="11" s="1"/>
  <c r="F114" i="11"/>
  <c r="I24" i="11" s="1"/>
  <c r="J24" i="11" s="1"/>
  <c r="F115" i="11"/>
  <c r="I25" i="11" s="1"/>
  <c r="J25" i="11" s="1"/>
  <c r="F116" i="11"/>
  <c r="I26" i="11" s="1"/>
  <c r="J26" i="11" s="1"/>
  <c r="F117" i="11"/>
  <c r="I27" i="11" s="1"/>
  <c r="J27" i="11" s="1"/>
  <c r="F118" i="11"/>
  <c r="F119" i="11"/>
  <c r="I29" i="11" s="1"/>
  <c r="J29" i="11" s="1"/>
  <c r="F120" i="11"/>
  <c r="I30" i="11" s="1"/>
  <c r="J30" i="11" s="1"/>
  <c r="Q31" i="1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I28" i="10"/>
  <c r="J28" i="10" s="1"/>
  <c r="L30" i="10"/>
  <c r="M30" i="10" s="1"/>
  <c r="L31" i="10"/>
  <c r="M31" i="10" s="1"/>
  <c r="F55" i="10"/>
  <c r="C25" i="10" s="1"/>
  <c r="D25" i="10" s="1"/>
  <c r="F56" i="10"/>
  <c r="C26" i="10" s="1"/>
  <c r="D26" i="10" s="1"/>
  <c r="F57" i="10"/>
  <c r="C27" i="10" s="1"/>
  <c r="D27" i="10" s="1"/>
  <c r="F58" i="10"/>
  <c r="C28" i="10" s="1"/>
  <c r="D28" i="10" s="1"/>
  <c r="F59" i="10"/>
  <c r="C29" i="10" s="1"/>
  <c r="D29" i="10" s="1"/>
  <c r="F60" i="10"/>
  <c r="C30" i="10" s="1"/>
  <c r="D30" i="10" s="1"/>
  <c r="F61" i="10"/>
  <c r="C31" i="10" s="1"/>
  <c r="D31" i="10" s="1"/>
  <c r="F85" i="10"/>
  <c r="F25" i="10" s="1"/>
  <c r="G25" i="10" s="1"/>
  <c r="F86" i="10"/>
  <c r="F26" i="10" s="1"/>
  <c r="G26" i="10" s="1"/>
  <c r="F87" i="10"/>
  <c r="F27" i="10" s="1"/>
  <c r="G27" i="10" s="1"/>
  <c r="F88" i="10"/>
  <c r="F28" i="10" s="1"/>
  <c r="G28" i="10" s="1"/>
  <c r="F89" i="10"/>
  <c r="F29" i="10" s="1"/>
  <c r="G29" i="10" s="1"/>
  <c r="F90" i="10"/>
  <c r="F30" i="10" s="1"/>
  <c r="G30" i="10" s="1"/>
  <c r="F91" i="10"/>
  <c r="F31" i="10" s="1"/>
  <c r="G31" i="10" s="1"/>
  <c r="F115" i="10"/>
  <c r="I25" i="10" s="1"/>
  <c r="J25" i="10" s="1"/>
  <c r="F116" i="10"/>
  <c r="I26" i="10" s="1"/>
  <c r="J26" i="10" s="1"/>
  <c r="F117" i="10"/>
  <c r="I27" i="10" s="1"/>
  <c r="J27" i="10" s="1"/>
  <c r="F118" i="10"/>
  <c r="F119" i="10"/>
  <c r="I29" i="10" s="1"/>
  <c r="J29" i="10" s="1"/>
  <c r="F120" i="10"/>
  <c r="I30" i="10" s="1"/>
  <c r="J30" i="10" s="1"/>
  <c r="F121" i="10"/>
  <c r="I31" i="10" s="1"/>
  <c r="J31" i="10" s="1"/>
  <c r="F145" i="10"/>
  <c r="L25" i="10" s="1"/>
  <c r="M25" i="10" s="1"/>
  <c r="F146" i="10"/>
  <c r="L26" i="10" s="1"/>
  <c r="M26" i="10" s="1"/>
  <c r="F147" i="10"/>
  <c r="L27" i="10" s="1"/>
  <c r="M27" i="10" s="1"/>
  <c r="F148" i="10"/>
  <c r="L28" i="10" s="1"/>
  <c r="M28" i="10" s="1"/>
  <c r="F149" i="10"/>
  <c r="L29" i="10" s="1"/>
  <c r="M29" i="10" s="1"/>
  <c r="F150" i="10"/>
  <c r="F151" i="10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C32" i="1"/>
  <c r="C29" i="1"/>
  <c r="C30" i="1"/>
  <c r="C31" i="1"/>
  <c r="C33" i="1"/>
  <c r="C34" i="1"/>
  <c r="C35" i="1"/>
  <c r="M14" i="23" l="1"/>
  <c r="E14" i="4" s="1"/>
  <c r="K7" i="11"/>
  <c r="L12" i="1" s="1"/>
  <c r="K30" i="11"/>
  <c r="L35" i="1" s="1"/>
  <c r="M35" i="1" s="1"/>
  <c r="K28" i="11"/>
  <c r="L33" i="1" s="1"/>
  <c r="M33" i="1" s="1"/>
  <c r="K20" i="11"/>
  <c r="L25" i="1" s="1"/>
  <c r="K12" i="11"/>
  <c r="L17" i="1" s="1"/>
  <c r="K15" i="11"/>
  <c r="L20" i="1" s="1"/>
  <c r="K26" i="11"/>
  <c r="L31" i="1" s="1"/>
  <c r="M31" i="1" s="1"/>
  <c r="K18" i="11"/>
  <c r="L23" i="1" s="1"/>
  <c r="K10" i="11"/>
  <c r="L15" i="1" s="1"/>
  <c r="K25" i="11"/>
  <c r="L30" i="1" s="1"/>
  <c r="M30" i="1" s="1"/>
  <c r="K17" i="11"/>
  <c r="L22" i="1" s="1"/>
  <c r="K9" i="11"/>
  <c r="L14" i="1" s="1"/>
  <c r="K24" i="11"/>
  <c r="L29" i="1" s="1"/>
  <c r="M29" i="1" s="1"/>
  <c r="K16" i="11"/>
  <c r="L21" i="1" s="1"/>
  <c r="K8" i="11"/>
  <c r="L13" i="1" s="1"/>
  <c r="K22" i="11"/>
  <c r="L27" i="1" s="1"/>
  <c r="K14" i="11"/>
  <c r="L19" i="1" s="1"/>
  <c r="K6" i="11"/>
  <c r="L11" i="1" s="1"/>
  <c r="K23" i="11"/>
  <c r="L28" i="1" s="1"/>
  <c r="K13" i="11"/>
  <c r="L18" i="1" s="1"/>
  <c r="K27" i="11"/>
  <c r="L32" i="1" s="1"/>
  <c r="M32" i="1" s="1"/>
  <c r="K19" i="11"/>
  <c r="L24" i="1" s="1"/>
  <c r="K11" i="11"/>
  <c r="L16" i="1" s="1"/>
  <c r="K29" i="11"/>
  <c r="L34" i="1" s="1"/>
  <c r="M34" i="1" s="1"/>
  <c r="K21" i="11"/>
  <c r="L26" i="1" s="1"/>
  <c r="M22" i="22"/>
  <c r="D22" i="4" s="1"/>
  <c r="M6" i="22"/>
  <c r="D6" i="4" s="1"/>
  <c r="M18" i="22"/>
  <c r="D18" i="4" s="1"/>
  <c r="N28" i="10"/>
  <c r="J32" i="1" s="1"/>
  <c r="K32" i="1" s="1"/>
  <c r="N26" i="10"/>
  <c r="J30" i="1" s="1"/>
  <c r="K30" i="1" s="1"/>
  <c r="N25" i="10"/>
  <c r="J29" i="1" s="1"/>
  <c r="K29" i="1" s="1"/>
  <c r="N31" i="10"/>
  <c r="J35" i="1" s="1"/>
  <c r="K35" i="1" s="1"/>
  <c r="N29" i="10"/>
  <c r="J33" i="1" s="1"/>
  <c r="K33" i="1" s="1"/>
  <c r="N30" i="10"/>
  <c r="J34" i="1" s="1"/>
  <c r="K34" i="1" s="1"/>
  <c r="N27" i="10"/>
  <c r="J31" i="1" s="1"/>
  <c r="K31" i="1" s="1"/>
  <c r="M8" i="21"/>
  <c r="C8" i="4" s="1"/>
  <c r="I16" i="23"/>
  <c r="M16" i="23" s="1"/>
  <c r="E16" i="4" s="1"/>
  <c r="K16" i="23"/>
  <c r="M18" i="23"/>
  <c r="E18" i="4" s="1"/>
  <c r="I24" i="23"/>
  <c r="M24" i="23" s="1"/>
  <c r="E24" i="4" s="1"/>
  <c r="M6" i="23"/>
  <c r="E6" i="4" s="1"/>
  <c r="M13" i="23"/>
  <c r="E13" i="4" s="1"/>
  <c r="I17" i="23"/>
  <c r="M17" i="23" s="1"/>
  <c r="E17" i="4" s="1"/>
  <c r="K17" i="23"/>
  <c r="I9" i="23"/>
  <c r="M9" i="23" s="1"/>
  <c r="E9" i="4" s="1"/>
  <c r="K9" i="23"/>
  <c r="K8" i="23"/>
  <c r="I8" i="23"/>
  <c r="M8" i="23" s="1"/>
  <c r="E8" i="4" s="1"/>
  <c r="I29" i="23"/>
  <c r="M29" i="23" s="1"/>
  <c r="E29" i="4" s="1"/>
  <c r="K29" i="23"/>
  <c r="I21" i="23"/>
  <c r="M21" i="23" s="1"/>
  <c r="E21" i="4" s="1"/>
  <c r="K21" i="23"/>
  <c r="I28" i="23"/>
  <c r="M28" i="23" s="1"/>
  <c r="E28" i="4" s="1"/>
  <c r="K28" i="23"/>
  <c r="I20" i="23"/>
  <c r="M20" i="23" s="1"/>
  <c r="E20" i="4" s="1"/>
  <c r="K20" i="23"/>
  <c r="I12" i="23"/>
  <c r="M12" i="23" s="1"/>
  <c r="E12" i="4" s="1"/>
  <c r="K12" i="23"/>
  <c r="M10" i="23"/>
  <c r="E10" i="4" s="1"/>
  <c r="M22" i="23"/>
  <c r="E22" i="4" s="1"/>
  <c r="K13" i="23"/>
  <c r="M26" i="23"/>
  <c r="E26" i="4" s="1"/>
  <c r="M30" i="23"/>
  <c r="E30" i="4" s="1"/>
  <c r="M25" i="23"/>
  <c r="E25" i="4" s="1"/>
  <c r="K25" i="23"/>
  <c r="M25" i="22"/>
  <c r="D25" i="4" s="1"/>
  <c r="M17" i="22"/>
  <c r="D17" i="4" s="1"/>
  <c r="M9" i="22"/>
  <c r="D9" i="4" s="1"/>
  <c r="I28" i="22"/>
  <c r="M28" i="22" s="1"/>
  <c r="D28" i="4" s="1"/>
  <c r="K28" i="22"/>
  <c r="I12" i="22"/>
  <c r="M12" i="22" s="1"/>
  <c r="D12" i="4" s="1"/>
  <c r="K12" i="22"/>
  <c r="K19" i="22"/>
  <c r="I19" i="22"/>
  <c r="M19" i="22" s="1"/>
  <c r="D19" i="4" s="1"/>
  <c r="I24" i="22"/>
  <c r="M24" i="22" s="1"/>
  <c r="D24" i="4" s="1"/>
  <c r="K24" i="22"/>
  <c r="I16" i="22"/>
  <c r="M16" i="22" s="1"/>
  <c r="D16" i="4" s="1"/>
  <c r="K16" i="22"/>
  <c r="I8" i="22"/>
  <c r="M8" i="22" s="1"/>
  <c r="D8" i="4" s="1"/>
  <c r="K8" i="22"/>
  <c r="K23" i="22"/>
  <c r="I23" i="22"/>
  <c r="M23" i="22" s="1"/>
  <c r="D23" i="4" s="1"/>
  <c r="K15" i="22"/>
  <c r="I15" i="22"/>
  <c r="M15" i="22" s="1"/>
  <c r="D15" i="4" s="1"/>
  <c r="K7" i="22"/>
  <c r="I7" i="22"/>
  <c r="M7" i="22" s="1"/>
  <c r="D7" i="4" s="1"/>
  <c r="M29" i="22"/>
  <c r="D29" i="4" s="1"/>
  <c r="M21" i="22"/>
  <c r="D21" i="4" s="1"/>
  <c r="M13" i="22"/>
  <c r="D13" i="4" s="1"/>
  <c r="M14" i="22"/>
  <c r="D14" i="4" s="1"/>
  <c r="K20" i="22"/>
  <c r="I11" i="22"/>
  <c r="M11" i="22" s="1"/>
  <c r="D11" i="4" s="1"/>
  <c r="M26" i="21"/>
  <c r="C26" i="4" s="1"/>
  <c r="S11" i="21"/>
  <c r="M28" i="21"/>
  <c r="C28" i="4" s="1"/>
  <c r="M9" i="21"/>
  <c r="C9" i="4" s="1"/>
  <c r="M10" i="21"/>
  <c r="C10" i="4" s="1"/>
  <c r="M11" i="21"/>
  <c r="C11" i="4" s="1"/>
  <c r="M16" i="21"/>
  <c r="C16" i="4" s="1"/>
  <c r="M23" i="21"/>
  <c r="C23" i="4" s="1"/>
  <c r="M15" i="21"/>
  <c r="C15" i="4" s="1"/>
  <c r="M7" i="21"/>
  <c r="C7" i="4" s="1"/>
  <c r="M29" i="21"/>
  <c r="C29" i="4" s="1"/>
  <c r="M21" i="21"/>
  <c r="C21" i="4" s="1"/>
  <c r="M13" i="21"/>
  <c r="C13" i="4" s="1"/>
  <c r="M30" i="21"/>
  <c r="C30" i="4" s="1"/>
  <c r="M14" i="21"/>
  <c r="C14" i="4" s="1"/>
  <c r="M6" i="21"/>
  <c r="C6" i="4" s="1"/>
  <c r="M27" i="21"/>
  <c r="C27" i="4" s="1"/>
  <c r="M19" i="21"/>
  <c r="C19" i="4" s="1"/>
  <c r="M20" i="21"/>
  <c r="C20" i="4" s="1"/>
  <c r="M12" i="21"/>
  <c r="C12" i="4" s="1"/>
  <c r="M25" i="21"/>
  <c r="C25" i="4" s="1"/>
  <c r="M17" i="21"/>
  <c r="C17" i="4" s="1"/>
  <c r="M24" i="21"/>
  <c r="C24" i="4" s="1"/>
  <c r="M29" i="18"/>
  <c r="B29" i="4" s="1"/>
  <c r="M21" i="18"/>
  <c r="B21" i="4" s="1"/>
  <c r="M13" i="18"/>
  <c r="B13" i="4" s="1"/>
  <c r="M25" i="18"/>
  <c r="B25" i="4" s="1"/>
  <c r="M17" i="18"/>
  <c r="B17" i="4" s="1"/>
  <c r="M9" i="18"/>
  <c r="B9" i="4" s="1"/>
  <c r="M30" i="18"/>
  <c r="B30" i="4" s="1"/>
  <c r="M22" i="18"/>
  <c r="B22" i="4" s="1"/>
  <c r="M14" i="18"/>
  <c r="B14" i="4" s="1"/>
  <c r="M6" i="18"/>
  <c r="B6" i="4" s="1"/>
  <c r="M26" i="18"/>
  <c r="M18" i="18"/>
  <c r="B18" i="4" s="1"/>
  <c r="M10" i="18"/>
  <c r="B10" i="4" s="1"/>
  <c r="M28" i="18"/>
  <c r="M12" i="18"/>
  <c r="B12" i="4" s="1"/>
  <c r="M20" i="18"/>
  <c r="B20" i="4" s="1"/>
  <c r="M24" i="18"/>
  <c r="M16" i="18"/>
  <c r="B16" i="4" s="1"/>
  <c r="M8" i="18"/>
  <c r="B8" i="4" s="1"/>
  <c r="E24" i="20"/>
  <c r="E16" i="20"/>
  <c r="D21" i="1" s="1"/>
  <c r="E21" i="1" s="1"/>
  <c r="E8" i="20"/>
  <c r="D13" i="1" s="1"/>
  <c r="E13" i="1" s="1"/>
  <c r="E28" i="20"/>
  <c r="E20" i="20"/>
  <c r="D25" i="1" s="1"/>
  <c r="E25" i="1" s="1"/>
  <c r="E12" i="20"/>
  <c r="D17" i="1" s="1"/>
  <c r="E17" i="1" s="1"/>
  <c r="E19" i="20"/>
  <c r="E11" i="20"/>
  <c r="D16" i="1" s="1"/>
  <c r="E16" i="1" s="1"/>
  <c r="E27" i="20"/>
  <c r="E25" i="20"/>
  <c r="E17" i="20"/>
  <c r="E9" i="20"/>
  <c r="D14" i="1" s="1"/>
  <c r="E14" i="1" s="1"/>
  <c r="E22" i="20"/>
  <c r="D27" i="1" s="1"/>
  <c r="E27" i="1" s="1"/>
  <c r="E7" i="20"/>
  <c r="D12" i="1" s="1"/>
  <c r="E12" i="1" s="1"/>
  <c r="E30" i="20"/>
  <c r="E14" i="20"/>
  <c r="D19" i="1" s="1"/>
  <c r="E19" i="1" s="1"/>
  <c r="E6" i="20"/>
  <c r="D11" i="1" s="1"/>
  <c r="E11" i="1" s="1"/>
  <c r="E23" i="20"/>
  <c r="D28" i="1" s="1"/>
  <c r="E28" i="1" s="1"/>
  <c r="E15" i="20"/>
  <c r="D20" i="1" s="1"/>
  <c r="E20" i="1" s="1"/>
  <c r="E18" i="20"/>
  <c r="D23" i="1" s="1"/>
  <c r="E23" i="1" s="1"/>
  <c r="E29" i="20"/>
  <c r="E26" i="20"/>
  <c r="E10" i="20"/>
  <c r="E21" i="20"/>
  <c r="D26" i="1" s="1"/>
  <c r="E26" i="1" s="1"/>
  <c r="E13" i="20"/>
  <c r="D18" i="1" s="1"/>
  <c r="E18" i="1" s="1"/>
  <c r="I27" i="23"/>
  <c r="M27" i="23" s="1"/>
  <c r="E27" i="4" s="1"/>
  <c r="I23" i="23"/>
  <c r="M23" i="23" s="1"/>
  <c r="E23" i="4" s="1"/>
  <c r="I19" i="23"/>
  <c r="M19" i="23" s="1"/>
  <c r="E19" i="4" s="1"/>
  <c r="I15" i="23"/>
  <c r="M15" i="23" s="1"/>
  <c r="E15" i="4" s="1"/>
  <c r="I11" i="23"/>
  <c r="M11" i="23" s="1"/>
  <c r="E11" i="4" s="1"/>
  <c r="I7" i="23"/>
  <c r="M7" i="23" s="1"/>
  <c r="E7" i="4" s="1"/>
  <c r="K30" i="23"/>
  <c r="K26" i="23"/>
  <c r="K22" i="23"/>
  <c r="K18" i="23"/>
  <c r="K14" i="23"/>
  <c r="K10" i="23"/>
  <c r="K6" i="23"/>
  <c r="M30" i="22"/>
  <c r="D30" i="4" s="1"/>
  <c r="M20" i="22"/>
  <c r="D20" i="4" s="1"/>
  <c r="M26" i="22"/>
  <c r="D26" i="4" s="1"/>
  <c r="M10" i="22"/>
  <c r="D10" i="4" s="1"/>
  <c r="I27" i="22"/>
  <c r="M27" i="22" s="1"/>
  <c r="D27" i="4" s="1"/>
  <c r="K29" i="22"/>
  <c r="K25" i="22"/>
  <c r="K21" i="22"/>
  <c r="K17" i="22"/>
  <c r="K13" i="22"/>
  <c r="K9" i="22"/>
  <c r="K30" i="22"/>
  <c r="K26" i="22"/>
  <c r="K22" i="22"/>
  <c r="K18" i="22"/>
  <c r="K14" i="22"/>
  <c r="K10" i="22"/>
  <c r="K6" i="22"/>
  <c r="M18" i="21"/>
  <c r="C18" i="4" s="1"/>
  <c r="M22" i="21"/>
  <c r="C22" i="4" s="1"/>
  <c r="M27" i="18"/>
  <c r="B27" i="4" s="1"/>
  <c r="M23" i="18"/>
  <c r="B23" i="4" s="1"/>
  <c r="M19" i="18"/>
  <c r="B19" i="4" s="1"/>
  <c r="M15" i="18"/>
  <c r="B15" i="4" s="1"/>
  <c r="M11" i="18"/>
  <c r="B11" i="4" s="1"/>
  <c r="M7" i="18"/>
  <c r="B7" i="4" s="1"/>
  <c r="Q35" i="1"/>
  <c r="Q30" i="1"/>
  <c r="K10" i="24"/>
  <c r="B9" i="1"/>
  <c r="L8" i="24" l="1"/>
  <c r="L4" i="24"/>
  <c r="L5" i="24"/>
  <c r="F25" i="4"/>
  <c r="F30" i="1" s="1"/>
  <c r="G30" i="1" s="1"/>
  <c r="F29" i="4"/>
  <c r="F34" i="1" s="1"/>
  <c r="G34" i="1" s="1"/>
  <c r="D31" i="1"/>
  <c r="E31" i="1" s="1"/>
  <c r="D33" i="1"/>
  <c r="E33" i="1" s="1"/>
  <c r="D30" i="1"/>
  <c r="E30" i="1" s="1"/>
  <c r="D32" i="1"/>
  <c r="E32" i="1" s="1"/>
  <c r="D29" i="1"/>
  <c r="E29" i="1" s="1"/>
  <c r="D15" i="1"/>
  <c r="E15" i="1" s="1"/>
  <c r="D35" i="1"/>
  <c r="E35" i="1" s="1"/>
  <c r="D24" i="1"/>
  <c r="E24" i="1" s="1"/>
  <c r="D34" i="1"/>
  <c r="E34" i="1" s="1"/>
  <c r="D22" i="1"/>
  <c r="E22" i="1" s="1"/>
  <c r="F30" i="4"/>
  <c r="F35" i="1" s="1"/>
  <c r="G35" i="1" s="1"/>
  <c r="F27" i="4"/>
  <c r="F32" i="1" s="1"/>
  <c r="G32" i="1" s="1"/>
  <c r="B26" i="4"/>
  <c r="F26" i="4" s="1"/>
  <c r="F31" i="1" s="1"/>
  <c r="G31" i="1" s="1"/>
  <c r="B28" i="4"/>
  <c r="F28" i="4" s="1"/>
  <c r="F33" i="1" s="1"/>
  <c r="G33" i="1" s="1"/>
  <c r="B24" i="4"/>
  <c r="F24" i="4" s="1"/>
  <c r="F29" i="1" s="1"/>
  <c r="G29" i="1" s="1"/>
  <c r="L9" i="24"/>
  <c r="L6" i="24"/>
  <c r="L7" i="24"/>
  <c r="S30" i="1" l="1"/>
  <c r="S31" i="1"/>
  <c r="T31" i="1" s="1"/>
  <c r="U31" i="1" s="1"/>
  <c r="S35" i="1"/>
  <c r="T35" i="1" s="1"/>
  <c r="U35" i="1" s="1"/>
  <c r="T30" i="1"/>
  <c r="U30" i="1" s="1"/>
  <c r="L10" i="24"/>
  <c r="P65" i="23"/>
  <c r="H5" i="23" s="1"/>
  <c r="P64" i="23"/>
  <c r="H4" i="23" s="1"/>
  <c r="L65" i="22"/>
  <c r="H5" i="22" s="1"/>
  <c r="L64" i="22"/>
  <c r="H4" i="22" s="1"/>
  <c r="I4" i="22" s="1"/>
  <c r="F35" i="23"/>
  <c r="L5" i="23" s="1"/>
  <c r="F34" i="23"/>
  <c r="L4" i="23" s="1"/>
  <c r="R11" i="23"/>
  <c r="S10" i="23" s="1"/>
  <c r="J5" i="23"/>
  <c r="J4" i="23"/>
  <c r="F35" i="22"/>
  <c r="L5" i="22" s="1"/>
  <c r="F34" i="22"/>
  <c r="L4" i="22" s="1"/>
  <c r="R11" i="22"/>
  <c r="S4" i="22" s="1"/>
  <c r="J5" i="22"/>
  <c r="J4" i="22"/>
  <c r="F65" i="21"/>
  <c r="H5" i="21" s="1"/>
  <c r="F64" i="21"/>
  <c r="F35" i="21"/>
  <c r="L5" i="21" s="1"/>
  <c r="F34" i="21"/>
  <c r="L4" i="21" s="1"/>
  <c r="J5" i="21"/>
  <c r="I95" i="20"/>
  <c r="D5" i="20" s="1"/>
  <c r="I94" i="20"/>
  <c r="D4" i="20" s="1"/>
  <c r="I65" i="20"/>
  <c r="C5" i="20" s="1"/>
  <c r="I64" i="20"/>
  <c r="C4" i="20" s="1"/>
  <c r="I35" i="20"/>
  <c r="I34" i="20"/>
  <c r="B4" i="20" s="1"/>
  <c r="GU1" i="15"/>
  <c r="GV1" i="15"/>
  <c r="GW1" i="15"/>
  <c r="HP1" i="15"/>
  <c r="HQ1" i="15"/>
  <c r="K2" i="15"/>
  <c r="L2" i="15"/>
  <c r="AE2" i="15"/>
  <c r="AF2" i="15"/>
  <c r="AZ2" i="15"/>
  <c r="BB2" i="15"/>
  <c r="BU2" i="15"/>
  <c r="BV2" i="15"/>
  <c r="BW2" i="15"/>
  <c r="CP2" i="15"/>
  <c r="CQ2" i="15"/>
  <c r="CR2" i="15"/>
  <c r="DK2" i="15"/>
  <c r="DL2" i="15"/>
  <c r="DM2" i="15"/>
  <c r="EF2" i="15"/>
  <c r="EG2" i="15"/>
  <c r="FA2" i="15"/>
  <c r="FB2" i="15"/>
  <c r="FC2" i="15"/>
  <c r="FW2" i="15"/>
  <c r="FX2" i="15"/>
  <c r="GQ2" i="15"/>
  <c r="GR2" i="15"/>
  <c r="HL2" i="15"/>
  <c r="HM2" i="15"/>
  <c r="EW3" i="15"/>
  <c r="EX3" i="15"/>
  <c r="EY3" i="15"/>
  <c r="P9" i="1"/>
  <c r="GB1" i="15" s="1"/>
  <c r="O9" i="1"/>
  <c r="GA1" i="15" s="1"/>
  <c r="N9" i="1"/>
  <c r="FZ1" i="15" s="1"/>
  <c r="BA2" i="15"/>
  <c r="FV2" i="15"/>
  <c r="HN2" i="15"/>
  <c r="HY24" i="15"/>
  <c r="IS24" i="15"/>
  <c r="G25" i="15"/>
  <c r="AK25" i="15"/>
  <c r="BO25" i="15"/>
  <c r="CI25" i="15"/>
  <c r="CS25" i="15"/>
  <c r="AA25" i="15"/>
  <c r="E5" i="12"/>
  <c r="IT25" i="15" s="1"/>
  <c r="BF26" i="15"/>
  <c r="EX26" i="15"/>
  <c r="E4" i="12"/>
  <c r="IH25" i="15" s="1"/>
  <c r="BE25" i="15"/>
  <c r="AU25" i="15"/>
  <c r="Q25" i="15"/>
  <c r="HO24" i="15"/>
  <c r="HE24" i="15"/>
  <c r="F95" i="11"/>
  <c r="I5" i="11" s="1"/>
  <c r="J5" i="11" s="1"/>
  <c r="HJ24" i="15" s="1"/>
  <c r="F94" i="11"/>
  <c r="I4" i="11" s="1"/>
  <c r="J4" i="11" s="1"/>
  <c r="GZ24" i="15" s="1"/>
  <c r="H25" i="15"/>
  <c r="F65" i="11"/>
  <c r="F5" i="11" s="1"/>
  <c r="G5" i="11" s="1"/>
  <c r="F64" i="11"/>
  <c r="F4" i="11" s="1"/>
  <c r="G4" i="11" s="1"/>
  <c r="F35" i="11"/>
  <c r="C5" i="11" s="1"/>
  <c r="D5" i="11" s="1"/>
  <c r="F34" i="11"/>
  <c r="C4" i="11" s="1"/>
  <c r="CK18" i="15"/>
  <c r="IV18" i="15"/>
  <c r="GC43" i="15"/>
  <c r="F114" i="10"/>
  <c r="F101" i="10"/>
  <c r="I11" i="10" s="1"/>
  <c r="J11" i="10" s="1"/>
  <c r="F99" i="10"/>
  <c r="I9" i="10" s="1"/>
  <c r="J9" i="10" s="1"/>
  <c r="F109" i="10"/>
  <c r="I19" i="10" s="1"/>
  <c r="J19" i="10" s="1"/>
  <c r="F111" i="10"/>
  <c r="I21" i="10" s="1"/>
  <c r="J21" i="10" s="1"/>
  <c r="F104" i="10"/>
  <c r="I14" i="10" s="1"/>
  <c r="J14" i="10" s="1"/>
  <c r="F113" i="10"/>
  <c r="I23" i="10" s="1"/>
  <c r="J23" i="10" s="1"/>
  <c r="F110" i="10"/>
  <c r="I20" i="10" s="1"/>
  <c r="J20" i="10" s="1"/>
  <c r="F105" i="10"/>
  <c r="D31" i="12"/>
  <c r="C31" i="12"/>
  <c r="B31" i="12"/>
  <c r="C36" i="12"/>
  <c r="C35" i="12"/>
  <c r="C34" i="12"/>
  <c r="F65" i="18"/>
  <c r="H5" i="18" s="1"/>
  <c r="H4" i="18"/>
  <c r="L5" i="18"/>
  <c r="F34" i="18"/>
  <c r="L4" i="18" s="1"/>
  <c r="H10" i="1"/>
  <c r="H11" i="1"/>
  <c r="HJ1" i="15" s="1"/>
  <c r="H12" i="1"/>
  <c r="H13" i="1"/>
  <c r="I13" i="1" s="1"/>
  <c r="H14" i="1"/>
  <c r="H15" i="1"/>
  <c r="BO2" i="15" s="1"/>
  <c r="H16" i="1"/>
  <c r="H17" i="1"/>
  <c r="I17" i="1" s="1"/>
  <c r="H18" i="1"/>
  <c r="H19" i="1"/>
  <c r="I19" i="1" s="1"/>
  <c r="H20" i="1"/>
  <c r="H21" i="1"/>
  <c r="H22" i="1"/>
  <c r="H23" i="1"/>
  <c r="I23" i="1" s="1"/>
  <c r="H24" i="1"/>
  <c r="H25" i="1"/>
  <c r="I25" i="1" s="1"/>
  <c r="H26" i="1"/>
  <c r="H27" i="1"/>
  <c r="I27" i="1" s="1"/>
  <c r="ER23" i="15"/>
  <c r="F144" i="10"/>
  <c r="L24" i="10" s="1"/>
  <c r="M24" i="10" s="1"/>
  <c r="F143" i="10"/>
  <c r="L23" i="10" s="1"/>
  <c r="M23" i="10" s="1"/>
  <c r="F142" i="10"/>
  <c r="L22" i="10" s="1"/>
  <c r="M22" i="10" s="1"/>
  <c r="F141" i="10"/>
  <c r="L21" i="10" s="1"/>
  <c r="M21" i="10" s="1"/>
  <c r="F140" i="10"/>
  <c r="L20" i="10" s="1"/>
  <c r="M20" i="10" s="1"/>
  <c r="F139" i="10"/>
  <c r="L19" i="10" s="1"/>
  <c r="M19" i="10" s="1"/>
  <c r="F138" i="10"/>
  <c r="L18" i="10" s="1"/>
  <c r="M18" i="10" s="1"/>
  <c r="F137" i="10"/>
  <c r="L17" i="10" s="1"/>
  <c r="M17" i="10" s="1"/>
  <c r="F136" i="10"/>
  <c r="L16" i="10" s="1"/>
  <c r="M16" i="10" s="1"/>
  <c r="F135" i="10"/>
  <c r="L15" i="10" s="1"/>
  <c r="M15" i="10" s="1"/>
  <c r="F134" i="10"/>
  <c r="L14" i="10" s="1"/>
  <c r="M14" i="10" s="1"/>
  <c r="F133" i="10"/>
  <c r="L13" i="10" s="1"/>
  <c r="M13" i="10" s="1"/>
  <c r="F132" i="10"/>
  <c r="L12" i="10" s="1"/>
  <c r="M12" i="10" s="1"/>
  <c r="F131" i="10"/>
  <c r="L11" i="10" s="1"/>
  <c r="M11" i="10" s="1"/>
  <c r="F130" i="10"/>
  <c r="L10" i="10" s="1"/>
  <c r="M10" i="10" s="1"/>
  <c r="F129" i="10"/>
  <c r="L9" i="10" s="1"/>
  <c r="M9" i="10" s="1"/>
  <c r="F128" i="10"/>
  <c r="L8" i="10" s="1"/>
  <c r="M8" i="10" s="1"/>
  <c r="F127" i="10"/>
  <c r="L7" i="10" s="1"/>
  <c r="M7" i="10" s="1"/>
  <c r="F126" i="10"/>
  <c r="L6" i="10" s="1"/>
  <c r="M6" i="10" s="1"/>
  <c r="F125" i="10"/>
  <c r="F112" i="10"/>
  <c r="I22" i="10" s="1"/>
  <c r="J22" i="10" s="1"/>
  <c r="F108" i="10"/>
  <c r="F107" i="10"/>
  <c r="I17" i="10" s="1"/>
  <c r="J17" i="10" s="1"/>
  <c r="F106" i="10"/>
  <c r="F103" i="10"/>
  <c r="F102" i="10"/>
  <c r="I12" i="10" s="1"/>
  <c r="J12" i="10" s="1"/>
  <c r="F98" i="10"/>
  <c r="I8" i="10" s="1"/>
  <c r="J8" i="10" s="1"/>
  <c r="F96" i="10"/>
  <c r="I6" i="10" s="1"/>
  <c r="J6" i="10" s="1"/>
  <c r="BR67" i="15" s="1"/>
  <c r="F95" i="10"/>
  <c r="F84" i="10"/>
  <c r="F24" i="10" s="1"/>
  <c r="G24" i="10" s="1"/>
  <c r="F83" i="10"/>
  <c r="F23" i="10" s="1"/>
  <c r="G23" i="10" s="1"/>
  <c r="F82" i="10"/>
  <c r="F22" i="10" s="1"/>
  <c r="G22" i="10" s="1"/>
  <c r="F81" i="10"/>
  <c r="F21" i="10" s="1"/>
  <c r="G21" i="10" s="1"/>
  <c r="F80" i="10"/>
  <c r="F20" i="10" s="1"/>
  <c r="G20" i="10" s="1"/>
  <c r="N20" i="10" s="1"/>
  <c r="J24" i="1" s="1"/>
  <c r="F79" i="10"/>
  <c r="F19" i="10" s="1"/>
  <c r="G19" i="10" s="1"/>
  <c r="F78" i="10"/>
  <c r="F77" i="10"/>
  <c r="F76" i="10"/>
  <c r="F75" i="10"/>
  <c r="F74" i="10"/>
  <c r="F14" i="10" s="1"/>
  <c r="G14" i="10" s="1"/>
  <c r="F73" i="10"/>
  <c r="F72" i="10"/>
  <c r="F71" i="10"/>
  <c r="F70" i="10"/>
  <c r="F10" i="10" s="1"/>
  <c r="G10" i="10" s="1"/>
  <c r="CU67" i="15" s="1"/>
  <c r="F69" i="10"/>
  <c r="F68" i="10"/>
  <c r="F8" i="10" s="1"/>
  <c r="G8" i="10" s="1"/>
  <c r="F67" i="10"/>
  <c r="F7" i="10" s="1"/>
  <c r="G7" i="10" s="1"/>
  <c r="F66" i="10"/>
  <c r="F6" i="10" s="1"/>
  <c r="G6" i="10" s="1"/>
  <c r="F65" i="10"/>
  <c r="F5" i="10" s="1"/>
  <c r="G5" i="10" s="1"/>
  <c r="BE67" i="15" s="1"/>
  <c r="F54" i="10"/>
  <c r="C24" i="10" s="1"/>
  <c r="D24" i="10" s="1"/>
  <c r="F53" i="10"/>
  <c r="C23" i="10" s="1"/>
  <c r="D23" i="10" s="1"/>
  <c r="F52" i="10"/>
  <c r="C22" i="10" s="1"/>
  <c r="D22" i="10" s="1"/>
  <c r="F51" i="10"/>
  <c r="C21" i="10" s="1"/>
  <c r="D21" i="10" s="1"/>
  <c r="F50" i="10"/>
  <c r="C20" i="10" s="1"/>
  <c r="D20" i="10" s="1"/>
  <c r="F49" i="10"/>
  <c r="C19" i="10" s="1"/>
  <c r="D19" i="10" s="1"/>
  <c r="F48" i="10"/>
  <c r="C18" i="10" s="1"/>
  <c r="D18" i="10" s="1"/>
  <c r="F47" i="10"/>
  <c r="C17" i="10" s="1"/>
  <c r="D17" i="10" s="1"/>
  <c r="F46" i="10"/>
  <c r="C16" i="10" s="1"/>
  <c r="F45" i="10"/>
  <c r="C15" i="10" s="1"/>
  <c r="D15" i="10" s="1"/>
  <c r="F44" i="10"/>
  <c r="F43" i="10"/>
  <c r="C13" i="10" s="1"/>
  <c r="D13" i="10" s="1"/>
  <c r="F42" i="10"/>
  <c r="C12" i="10" s="1"/>
  <c r="F41" i="10"/>
  <c r="F40" i="10"/>
  <c r="C10" i="10" s="1"/>
  <c r="D10" i="10" s="1"/>
  <c r="F39" i="10"/>
  <c r="F38" i="10"/>
  <c r="C8" i="10" s="1"/>
  <c r="D8" i="10" s="1"/>
  <c r="F37" i="10"/>
  <c r="C7" i="10" s="1"/>
  <c r="D7" i="10" s="1"/>
  <c r="F36" i="10"/>
  <c r="C6" i="10" s="1"/>
  <c r="D6" i="10" s="1"/>
  <c r="F35" i="10"/>
  <c r="C5" i="10" s="1"/>
  <c r="D5" i="10" s="1"/>
  <c r="GV17" i="15"/>
  <c r="A1" i="15"/>
  <c r="B1" i="15"/>
  <c r="C1" i="15"/>
  <c r="D1" i="15"/>
  <c r="E1" i="15"/>
  <c r="F1" i="15"/>
  <c r="G1" i="15"/>
  <c r="H1" i="15"/>
  <c r="I1" i="15"/>
  <c r="J1" i="15"/>
  <c r="K1" i="15"/>
  <c r="L1" i="15"/>
  <c r="M1" i="15"/>
  <c r="N1" i="15"/>
  <c r="O1" i="15"/>
  <c r="P1" i="15"/>
  <c r="Q1" i="15"/>
  <c r="R1" i="15"/>
  <c r="S1" i="15"/>
  <c r="T1" i="15"/>
  <c r="U1" i="15"/>
  <c r="V1" i="15"/>
  <c r="W1" i="15"/>
  <c r="X1" i="15"/>
  <c r="Y1" i="15"/>
  <c r="Z1" i="15"/>
  <c r="AA1" i="15"/>
  <c r="AB1" i="15"/>
  <c r="AC1" i="15"/>
  <c r="AD1" i="15"/>
  <c r="AE1" i="15"/>
  <c r="AF1" i="15"/>
  <c r="AG1" i="15"/>
  <c r="AH1" i="15"/>
  <c r="AI1" i="15"/>
  <c r="AJ1" i="15"/>
  <c r="AK1" i="15"/>
  <c r="AL1" i="15"/>
  <c r="AM1" i="15"/>
  <c r="AN1" i="15"/>
  <c r="AO1" i="15"/>
  <c r="AP1" i="15"/>
  <c r="AQ1" i="15"/>
  <c r="AR1" i="15"/>
  <c r="AS1" i="15"/>
  <c r="AT1" i="15"/>
  <c r="AU1" i="15"/>
  <c r="AV1" i="15"/>
  <c r="AW1" i="15"/>
  <c r="AX1" i="15"/>
  <c r="AY1" i="15"/>
  <c r="AZ1" i="15"/>
  <c r="BA1" i="15"/>
  <c r="BB1" i="15"/>
  <c r="BC1" i="15"/>
  <c r="BD1" i="15"/>
  <c r="BE1" i="15"/>
  <c r="BF1" i="15"/>
  <c r="BG1" i="15"/>
  <c r="BH1" i="15"/>
  <c r="BI1" i="15"/>
  <c r="BJ1" i="15"/>
  <c r="BK1" i="15"/>
  <c r="BL1" i="15"/>
  <c r="BM1" i="15"/>
  <c r="BN1" i="15"/>
  <c r="BO1" i="15"/>
  <c r="BP1" i="15"/>
  <c r="BQ1" i="15"/>
  <c r="BR1" i="15"/>
  <c r="BS1" i="15"/>
  <c r="BT1" i="15"/>
  <c r="BU1" i="15"/>
  <c r="BV1" i="15"/>
  <c r="BW1" i="15"/>
  <c r="BX1" i="15"/>
  <c r="BY1" i="15"/>
  <c r="BZ1" i="15"/>
  <c r="CA1" i="15"/>
  <c r="CB1" i="15"/>
  <c r="CC1" i="15"/>
  <c r="CD1" i="15"/>
  <c r="CE1" i="15"/>
  <c r="CF1" i="15"/>
  <c r="CG1" i="15"/>
  <c r="CH1" i="15"/>
  <c r="CI1" i="15"/>
  <c r="CJ1" i="15"/>
  <c r="CK1" i="15"/>
  <c r="CL1" i="15"/>
  <c r="CM1" i="15"/>
  <c r="CN1" i="15"/>
  <c r="CO1" i="15"/>
  <c r="CP1" i="15"/>
  <c r="CQ1" i="15"/>
  <c r="CR1" i="15"/>
  <c r="CS1" i="15"/>
  <c r="CT1" i="15"/>
  <c r="CU1" i="15"/>
  <c r="CV1" i="15"/>
  <c r="CW1" i="15"/>
  <c r="CX1" i="15"/>
  <c r="CY1" i="15"/>
  <c r="CZ1" i="15"/>
  <c r="DA1" i="15"/>
  <c r="DB1" i="15"/>
  <c r="DC1" i="15"/>
  <c r="DD1" i="15"/>
  <c r="DE1" i="15"/>
  <c r="DF1" i="15"/>
  <c r="DG1" i="15"/>
  <c r="DH1" i="15"/>
  <c r="DI1" i="15"/>
  <c r="DJ1" i="15"/>
  <c r="DK1" i="15"/>
  <c r="DL1" i="15"/>
  <c r="DM1" i="15"/>
  <c r="DN1" i="15"/>
  <c r="DO1" i="15"/>
  <c r="DP1" i="15"/>
  <c r="DQ1" i="15"/>
  <c r="DR1" i="15"/>
  <c r="DS1" i="15"/>
  <c r="DT1" i="15"/>
  <c r="DU1" i="15"/>
  <c r="DV1" i="15"/>
  <c r="DW1" i="15"/>
  <c r="DX1" i="15"/>
  <c r="DY1" i="15"/>
  <c r="DZ1" i="15"/>
  <c r="EA1" i="15"/>
  <c r="EB1" i="15"/>
  <c r="EC1" i="15"/>
  <c r="ED1" i="15"/>
  <c r="EE1" i="15"/>
  <c r="EF1" i="15"/>
  <c r="EG1" i="15"/>
  <c r="EH1" i="15"/>
  <c r="EI1" i="15"/>
  <c r="EJ1" i="15"/>
  <c r="EK1" i="15"/>
  <c r="EL1" i="15"/>
  <c r="EM1" i="15"/>
  <c r="EN1" i="15"/>
  <c r="EO1" i="15"/>
  <c r="EP1" i="15"/>
  <c r="EQ1" i="15"/>
  <c r="ER1" i="15"/>
  <c r="ES1" i="15"/>
  <c r="ET1" i="15"/>
  <c r="EU1" i="15"/>
  <c r="EV1" i="15"/>
  <c r="EW1" i="15"/>
  <c r="EX1" i="15"/>
  <c r="EY1" i="15"/>
  <c r="EZ1" i="15"/>
  <c r="FA1" i="15"/>
  <c r="FB1" i="15"/>
  <c r="FC1" i="15"/>
  <c r="FD1" i="15"/>
  <c r="FE1" i="15"/>
  <c r="FF1" i="15"/>
  <c r="FG1" i="15"/>
  <c r="FH1" i="15"/>
  <c r="FI1" i="15"/>
  <c r="FJ1" i="15"/>
  <c r="FK1" i="15"/>
  <c r="FL1" i="15"/>
  <c r="FM1" i="15"/>
  <c r="FN1" i="15"/>
  <c r="FO1" i="15"/>
  <c r="FP1" i="15"/>
  <c r="FQ1" i="15"/>
  <c r="GE1" i="15"/>
  <c r="GH1" i="15"/>
  <c r="GI1" i="15"/>
  <c r="GJ1" i="15"/>
  <c r="GK1" i="15"/>
  <c r="GL1" i="15"/>
  <c r="GZ1" i="15"/>
  <c r="HC1" i="15"/>
  <c r="HD1" i="15"/>
  <c r="HE1" i="15"/>
  <c r="HF1" i="15"/>
  <c r="HG1" i="15"/>
  <c r="HU1" i="15"/>
  <c r="HX1" i="15"/>
  <c r="HY1" i="15"/>
  <c r="HZ1" i="15"/>
  <c r="IA1" i="15"/>
  <c r="IB1" i="15"/>
  <c r="IC1" i="15"/>
  <c r="ID1" i="15"/>
  <c r="IE1" i="15"/>
  <c r="IF1" i="15"/>
  <c r="IG1" i="15"/>
  <c r="IH1" i="15"/>
  <c r="II1" i="15"/>
  <c r="IJ1" i="15"/>
  <c r="IK1" i="15"/>
  <c r="IL1" i="15"/>
  <c r="IM1" i="15"/>
  <c r="IN1" i="15"/>
  <c r="IO1" i="15"/>
  <c r="IP1" i="15"/>
  <c r="IQ1" i="15"/>
  <c r="IR1" i="15"/>
  <c r="IS1" i="15"/>
  <c r="IT1" i="15"/>
  <c r="IU1" i="15"/>
  <c r="IV1" i="15"/>
  <c r="A2" i="15"/>
  <c r="O2" i="15"/>
  <c r="S2" i="15"/>
  <c r="T2" i="15"/>
  <c r="U2" i="15"/>
  <c r="V2" i="15"/>
  <c r="AJ2" i="15"/>
  <c r="AM2" i="15"/>
  <c r="AN2" i="15"/>
  <c r="AO2" i="15"/>
  <c r="AP2" i="15"/>
  <c r="AQ2" i="15"/>
  <c r="BE2" i="15"/>
  <c r="BH2" i="15"/>
  <c r="BI2" i="15"/>
  <c r="BJ2" i="15"/>
  <c r="BK2" i="15"/>
  <c r="BL2" i="15"/>
  <c r="BZ2" i="15"/>
  <c r="CC2" i="15"/>
  <c r="CD2" i="15"/>
  <c r="CE2" i="15"/>
  <c r="CF2" i="15"/>
  <c r="CG2" i="15"/>
  <c r="CU2" i="15"/>
  <c r="CX2" i="15"/>
  <c r="CY2" i="15"/>
  <c r="CZ2" i="15"/>
  <c r="DA2" i="15"/>
  <c r="DB2" i="15"/>
  <c r="DP2" i="15"/>
  <c r="DS2" i="15"/>
  <c r="DT2" i="15"/>
  <c r="DU2" i="15"/>
  <c r="DV2" i="15"/>
  <c r="DW2" i="15"/>
  <c r="EK2" i="15"/>
  <c r="EN2" i="15"/>
  <c r="EO2" i="15"/>
  <c r="EP2" i="15"/>
  <c r="EQ2" i="15"/>
  <c r="ER2" i="15"/>
  <c r="FF2" i="15"/>
  <c r="FI2" i="15"/>
  <c r="FJ2" i="15"/>
  <c r="FK2" i="15"/>
  <c r="FL2" i="15"/>
  <c r="FM2" i="15"/>
  <c r="GA2" i="15"/>
  <c r="GD2" i="15"/>
  <c r="GE2" i="15"/>
  <c r="GF2" i="15"/>
  <c r="GG2" i="15"/>
  <c r="GH2" i="15"/>
  <c r="GV2" i="15"/>
  <c r="GY2" i="15"/>
  <c r="GZ2" i="15"/>
  <c r="HA2" i="15"/>
  <c r="HB2" i="15"/>
  <c r="HC2" i="15"/>
  <c r="HQ2" i="15"/>
  <c r="HT2" i="15"/>
  <c r="HU2" i="15"/>
  <c r="HV2" i="15"/>
  <c r="HW2" i="15"/>
  <c r="HX2" i="15"/>
  <c r="HY2" i="15"/>
  <c r="HZ2" i="15"/>
  <c r="IA2" i="15"/>
  <c r="IB2" i="15"/>
  <c r="IC2" i="15"/>
  <c r="ID2" i="15"/>
  <c r="IE2" i="15"/>
  <c r="IF2" i="15"/>
  <c r="IG2" i="15"/>
  <c r="IH2" i="15"/>
  <c r="II2" i="15"/>
  <c r="IJ2" i="15"/>
  <c r="IK2" i="15"/>
  <c r="IL2" i="15"/>
  <c r="IM2" i="15"/>
  <c r="IN2" i="15"/>
  <c r="IO2" i="15"/>
  <c r="IP2" i="15"/>
  <c r="IQ2" i="15"/>
  <c r="IR2" i="15"/>
  <c r="IS2" i="15"/>
  <c r="IT2" i="15"/>
  <c r="IU2" i="15"/>
  <c r="IV2" i="15"/>
  <c r="A3" i="15"/>
  <c r="B3" i="15"/>
  <c r="C3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R3" i="15"/>
  <c r="S3" i="15"/>
  <c r="T3" i="15"/>
  <c r="U3" i="15"/>
  <c r="V3" i="15"/>
  <c r="W3" i="15"/>
  <c r="X3" i="15"/>
  <c r="Y3" i="15"/>
  <c r="Z3" i="15"/>
  <c r="AA3" i="15"/>
  <c r="AB3" i="15"/>
  <c r="AC3" i="15"/>
  <c r="AD3" i="15"/>
  <c r="AE3" i="15"/>
  <c r="AF3" i="15"/>
  <c r="AG3" i="15"/>
  <c r="AH3" i="15"/>
  <c r="AI3" i="15"/>
  <c r="AJ3" i="15"/>
  <c r="AK3" i="15"/>
  <c r="AL3" i="15"/>
  <c r="AM3" i="15"/>
  <c r="AN3" i="15"/>
  <c r="AO3" i="15"/>
  <c r="AP3" i="15"/>
  <c r="AQ3" i="15"/>
  <c r="AR3" i="15"/>
  <c r="AS3" i="15"/>
  <c r="AT3" i="15"/>
  <c r="AU3" i="15"/>
  <c r="AV3" i="15"/>
  <c r="AW3" i="15"/>
  <c r="AX3" i="15"/>
  <c r="AY3" i="15"/>
  <c r="AZ3" i="15"/>
  <c r="BA3" i="15"/>
  <c r="BB3" i="15"/>
  <c r="BC3" i="15"/>
  <c r="BD3" i="15"/>
  <c r="BE3" i="15"/>
  <c r="BF3" i="15"/>
  <c r="BG3" i="15"/>
  <c r="BH3" i="15"/>
  <c r="BI3" i="15"/>
  <c r="BJ3" i="15"/>
  <c r="BK3" i="15"/>
  <c r="BL3" i="15"/>
  <c r="BM3" i="15"/>
  <c r="BN3" i="15"/>
  <c r="BO3" i="15"/>
  <c r="BP3" i="15"/>
  <c r="BQ3" i="15"/>
  <c r="BR3" i="15"/>
  <c r="BS3" i="15"/>
  <c r="BT3" i="15"/>
  <c r="BU3" i="15"/>
  <c r="BV3" i="15"/>
  <c r="BW3" i="15"/>
  <c r="BX3" i="15"/>
  <c r="BY3" i="15"/>
  <c r="BZ3" i="15"/>
  <c r="CA3" i="15"/>
  <c r="CB3" i="15"/>
  <c r="CC3" i="15"/>
  <c r="CD3" i="15"/>
  <c r="CE3" i="15"/>
  <c r="CF3" i="15"/>
  <c r="CG3" i="15"/>
  <c r="CH3" i="15"/>
  <c r="CI3" i="15"/>
  <c r="CJ3" i="15"/>
  <c r="CK3" i="15"/>
  <c r="CL3" i="15"/>
  <c r="CM3" i="15"/>
  <c r="CN3" i="15"/>
  <c r="CO3" i="15"/>
  <c r="CP3" i="15"/>
  <c r="CQ3" i="15"/>
  <c r="CR3" i="15"/>
  <c r="CS3" i="15"/>
  <c r="CT3" i="15"/>
  <c r="CU3" i="15"/>
  <c r="CV3" i="15"/>
  <c r="CW3" i="15"/>
  <c r="CX3" i="15"/>
  <c r="CY3" i="15"/>
  <c r="CZ3" i="15"/>
  <c r="DA3" i="15"/>
  <c r="DB3" i="15"/>
  <c r="DC3" i="15"/>
  <c r="DD3" i="15"/>
  <c r="DE3" i="15"/>
  <c r="DF3" i="15"/>
  <c r="DG3" i="15"/>
  <c r="DH3" i="15"/>
  <c r="DI3" i="15"/>
  <c r="DJ3" i="15"/>
  <c r="DK3" i="15"/>
  <c r="DL3" i="15"/>
  <c r="DM3" i="15"/>
  <c r="DN3" i="15"/>
  <c r="DO3" i="15"/>
  <c r="DP3" i="15"/>
  <c r="DQ3" i="15"/>
  <c r="DR3" i="15"/>
  <c r="DS3" i="15"/>
  <c r="DT3" i="15"/>
  <c r="DU3" i="15"/>
  <c r="DV3" i="15"/>
  <c r="DW3" i="15"/>
  <c r="DX3" i="15"/>
  <c r="DY3" i="15"/>
  <c r="DZ3" i="15"/>
  <c r="EA3" i="15"/>
  <c r="EB3" i="15"/>
  <c r="EC3" i="15"/>
  <c r="ED3" i="15"/>
  <c r="EE3" i="15"/>
  <c r="EF3" i="15"/>
  <c r="EG3" i="15"/>
  <c r="EH3" i="15"/>
  <c r="EI3" i="15"/>
  <c r="EJ3" i="15"/>
  <c r="EK3" i="15"/>
  <c r="EL3" i="15"/>
  <c r="EM3" i="15"/>
  <c r="EN3" i="15"/>
  <c r="FB3" i="15"/>
  <c r="FE3" i="15"/>
  <c r="FF3" i="15"/>
  <c r="FG3" i="15"/>
  <c r="FH3" i="15"/>
  <c r="FI3" i="15"/>
  <c r="FJ3" i="15"/>
  <c r="FK3" i="15"/>
  <c r="FL3" i="15"/>
  <c r="FM3" i="15"/>
  <c r="FN3" i="15"/>
  <c r="FO3" i="15"/>
  <c r="FP3" i="15"/>
  <c r="FQ3" i="15"/>
  <c r="FR3" i="15"/>
  <c r="FS3" i="15"/>
  <c r="FT3" i="15"/>
  <c r="FU3" i="15"/>
  <c r="FV3" i="15"/>
  <c r="FW3" i="15"/>
  <c r="FX3" i="15"/>
  <c r="FY3" i="15"/>
  <c r="FZ3" i="15"/>
  <c r="GA3" i="15"/>
  <c r="GB3" i="15"/>
  <c r="GC3" i="15"/>
  <c r="GD3" i="15"/>
  <c r="GE3" i="15"/>
  <c r="GF3" i="15"/>
  <c r="GG3" i="15"/>
  <c r="GH3" i="15"/>
  <c r="GI3" i="15"/>
  <c r="GJ3" i="15"/>
  <c r="GK3" i="15"/>
  <c r="GL3" i="15"/>
  <c r="GM3" i="15"/>
  <c r="GN3" i="15"/>
  <c r="GO3" i="15"/>
  <c r="GP3" i="15"/>
  <c r="GQ3" i="15"/>
  <c r="GR3" i="15"/>
  <c r="GS3" i="15"/>
  <c r="GT3" i="15"/>
  <c r="GU3" i="15"/>
  <c r="GV3" i="15"/>
  <c r="GW3" i="15"/>
  <c r="GX3" i="15"/>
  <c r="GY3" i="15"/>
  <c r="GZ3" i="15"/>
  <c r="HA3" i="15"/>
  <c r="HB3" i="15"/>
  <c r="HC3" i="15"/>
  <c r="HD3" i="15"/>
  <c r="HE3" i="15"/>
  <c r="HF3" i="15"/>
  <c r="HG3" i="15"/>
  <c r="HH3" i="15"/>
  <c r="HI3" i="15"/>
  <c r="HJ3" i="15"/>
  <c r="HK3" i="15"/>
  <c r="HL3" i="15"/>
  <c r="HM3" i="15"/>
  <c r="HN3" i="15"/>
  <c r="HO3" i="15"/>
  <c r="HP3" i="15"/>
  <c r="HQ3" i="15"/>
  <c r="HR3" i="15"/>
  <c r="HS3" i="15"/>
  <c r="HT3" i="15"/>
  <c r="HU3" i="15"/>
  <c r="HV3" i="15"/>
  <c r="HW3" i="15"/>
  <c r="HX3" i="15"/>
  <c r="HY3" i="15"/>
  <c r="HZ3" i="15"/>
  <c r="IA3" i="15"/>
  <c r="IB3" i="15"/>
  <c r="IC3" i="15"/>
  <c r="ID3" i="15"/>
  <c r="IE3" i="15"/>
  <c r="IF3" i="15"/>
  <c r="IG3" i="15"/>
  <c r="IH3" i="15"/>
  <c r="II3" i="15"/>
  <c r="IJ3" i="15"/>
  <c r="IK3" i="15"/>
  <c r="IL3" i="15"/>
  <c r="IM3" i="15"/>
  <c r="IN3" i="15"/>
  <c r="IO3" i="15"/>
  <c r="IP3" i="15"/>
  <c r="IQ3" i="15"/>
  <c r="IR3" i="15"/>
  <c r="IS3" i="15"/>
  <c r="IT3" i="15"/>
  <c r="IU3" i="15"/>
  <c r="IV3" i="15"/>
  <c r="A4" i="15"/>
  <c r="B4" i="15"/>
  <c r="C4" i="15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U4" i="15"/>
  <c r="V4" i="15"/>
  <c r="W4" i="15"/>
  <c r="X4" i="15"/>
  <c r="Y4" i="15"/>
  <c r="Z4" i="15"/>
  <c r="AA4" i="15"/>
  <c r="AB4" i="15"/>
  <c r="AC4" i="15"/>
  <c r="AD4" i="15"/>
  <c r="AE4" i="15"/>
  <c r="AF4" i="15"/>
  <c r="AG4" i="15"/>
  <c r="AH4" i="15"/>
  <c r="AI4" i="15"/>
  <c r="AJ4" i="15"/>
  <c r="AK4" i="15"/>
  <c r="AL4" i="15"/>
  <c r="AM4" i="15"/>
  <c r="AN4" i="15"/>
  <c r="AO4" i="15"/>
  <c r="AP4" i="15"/>
  <c r="AQ4" i="15"/>
  <c r="AR4" i="15"/>
  <c r="AS4" i="15"/>
  <c r="AT4" i="15"/>
  <c r="AU4" i="15"/>
  <c r="AV4" i="15"/>
  <c r="AW4" i="15"/>
  <c r="AX4" i="15"/>
  <c r="AY4" i="15"/>
  <c r="AZ4" i="15"/>
  <c r="BA4" i="15"/>
  <c r="BB4" i="15"/>
  <c r="BC4" i="15"/>
  <c r="BD4" i="15"/>
  <c r="BE4" i="15"/>
  <c r="BF4" i="15"/>
  <c r="BG4" i="15"/>
  <c r="BH4" i="15"/>
  <c r="BI4" i="15"/>
  <c r="BJ4" i="15"/>
  <c r="BK4" i="15"/>
  <c r="BL4" i="15"/>
  <c r="BM4" i="15"/>
  <c r="BN4" i="15"/>
  <c r="BO4" i="15"/>
  <c r="BP4" i="15"/>
  <c r="BQ4" i="15"/>
  <c r="BR4" i="15"/>
  <c r="BS4" i="15"/>
  <c r="BT4" i="15"/>
  <c r="BU4" i="15"/>
  <c r="BV4" i="15"/>
  <c r="BW4" i="15"/>
  <c r="BX4" i="15"/>
  <c r="BY4" i="15"/>
  <c r="BZ4" i="15"/>
  <c r="CA4" i="15"/>
  <c r="CB4" i="15"/>
  <c r="CC4" i="15"/>
  <c r="CD4" i="15"/>
  <c r="CE4" i="15"/>
  <c r="CF4" i="15"/>
  <c r="CG4" i="15"/>
  <c r="CH4" i="15"/>
  <c r="CI4" i="15"/>
  <c r="CJ4" i="15"/>
  <c r="CK4" i="15"/>
  <c r="CL4" i="15"/>
  <c r="CM4" i="15"/>
  <c r="CN4" i="15"/>
  <c r="CO4" i="15"/>
  <c r="CP4" i="15"/>
  <c r="CQ4" i="15"/>
  <c r="CR4" i="15"/>
  <c r="CS4" i="15"/>
  <c r="CT4" i="15"/>
  <c r="CU4" i="15"/>
  <c r="CV4" i="15"/>
  <c r="CW4" i="15"/>
  <c r="CX4" i="15"/>
  <c r="CY4" i="15"/>
  <c r="CZ4" i="15"/>
  <c r="DA4" i="15"/>
  <c r="DB4" i="15"/>
  <c r="DC4" i="15"/>
  <c r="DD4" i="15"/>
  <c r="DE4" i="15"/>
  <c r="DF4" i="15"/>
  <c r="DG4" i="15"/>
  <c r="DH4" i="15"/>
  <c r="DI4" i="15"/>
  <c r="DJ4" i="15"/>
  <c r="DK4" i="15"/>
  <c r="DL4" i="15"/>
  <c r="DM4" i="15"/>
  <c r="DN4" i="15"/>
  <c r="DO4" i="15"/>
  <c r="DP4" i="15"/>
  <c r="DQ4" i="15"/>
  <c r="DR4" i="15"/>
  <c r="DS4" i="15"/>
  <c r="DT4" i="15"/>
  <c r="DU4" i="15"/>
  <c r="DV4" i="15"/>
  <c r="DW4" i="15"/>
  <c r="DX4" i="15"/>
  <c r="DY4" i="15"/>
  <c r="DZ4" i="15"/>
  <c r="EA4" i="15"/>
  <c r="EB4" i="15"/>
  <c r="EC4" i="15"/>
  <c r="ED4" i="15"/>
  <c r="EE4" i="15"/>
  <c r="EF4" i="15"/>
  <c r="EG4" i="15"/>
  <c r="EH4" i="15"/>
  <c r="EI4" i="15"/>
  <c r="EJ4" i="15"/>
  <c r="EK4" i="15"/>
  <c r="EL4" i="15"/>
  <c r="EM4" i="15"/>
  <c r="EN4" i="15"/>
  <c r="EO4" i="15"/>
  <c r="EP4" i="15"/>
  <c r="EQ4" i="15"/>
  <c r="ER4" i="15"/>
  <c r="ES4" i="15"/>
  <c r="ET4" i="15"/>
  <c r="EU4" i="15"/>
  <c r="EV4" i="15"/>
  <c r="EW4" i="15"/>
  <c r="EX4" i="15"/>
  <c r="EY4" i="15"/>
  <c r="EZ4" i="15"/>
  <c r="FA4" i="15"/>
  <c r="FB4" i="15"/>
  <c r="FC4" i="15"/>
  <c r="FD4" i="15"/>
  <c r="FE4" i="15"/>
  <c r="FF4" i="15"/>
  <c r="FG4" i="15"/>
  <c r="FH4" i="15"/>
  <c r="FI4" i="15"/>
  <c r="FJ4" i="15"/>
  <c r="FK4" i="15"/>
  <c r="FL4" i="15"/>
  <c r="FM4" i="15"/>
  <c r="FN4" i="15"/>
  <c r="FO4" i="15"/>
  <c r="FP4" i="15"/>
  <c r="FQ4" i="15"/>
  <c r="FR4" i="15"/>
  <c r="FS4" i="15"/>
  <c r="FT4" i="15"/>
  <c r="FU4" i="15"/>
  <c r="FV4" i="15"/>
  <c r="FW4" i="15"/>
  <c r="FX4" i="15"/>
  <c r="FY4" i="15"/>
  <c r="FZ4" i="15"/>
  <c r="GA4" i="15"/>
  <c r="GB4" i="15"/>
  <c r="GC4" i="15"/>
  <c r="GD4" i="15"/>
  <c r="GE4" i="15"/>
  <c r="GF4" i="15"/>
  <c r="GG4" i="15"/>
  <c r="GH4" i="15"/>
  <c r="GI4" i="15"/>
  <c r="GJ4" i="15"/>
  <c r="GK4" i="15"/>
  <c r="GL4" i="15"/>
  <c r="GM4" i="15"/>
  <c r="GN4" i="15"/>
  <c r="GO4" i="15"/>
  <c r="GP4" i="15"/>
  <c r="GQ4" i="15"/>
  <c r="GR4" i="15"/>
  <c r="GS4" i="15"/>
  <c r="GT4" i="15"/>
  <c r="GU4" i="15"/>
  <c r="GV4" i="15"/>
  <c r="GW4" i="15"/>
  <c r="GX4" i="15"/>
  <c r="GY4" i="15"/>
  <c r="GZ4" i="15"/>
  <c r="HA4" i="15"/>
  <c r="HB4" i="15"/>
  <c r="HC4" i="15"/>
  <c r="HD4" i="15"/>
  <c r="HE4" i="15"/>
  <c r="HF4" i="15"/>
  <c r="HG4" i="15"/>
  <c r="HH4" i="15"/>
  <c r="HI4" i="15"/>
  <c r="HJ4" i="15"/>
  <c r="HK4" i="15"/>
  <c r="HL4" i="15"/>
  <c r="HM4" i="15"/>
  <c r="HN4" i="15"/>
  <c r="HO4" i="15"/>
  <c r="HP4" i="15"/>
  <c r="HQ4" i="15"/>
  <c r="HR4" i="15"/>
  <c r="HS4" i="15"/>
  <c r="HT4" i="15"/>
  <c r="HU4" i="15"/>
  <c r="HV4" i="15"/>
  <c r="HW4" i="15"/>
  <c r="HX4" i="15"/>
  <c r="HY4" i="15"/>
  <c r="HZ4" i="15"/>
  <c r="IA4" i="15"/>
  <c r="IB4" i="15"/>
  <c r="IC4" i="15"/>
  <c r="ID4" i="15"/>
  <c r="IE4" i="15"/>
  <c r="IF4" i="15"/>
  <c r="IG4" i="15"/>
  <c r="IH4" i="15"/>
  <c r="II4" i="15"/>
  <c r="IJ4" i="15"/>
  <c r="IK4" i="15"/>
  <c r="IL4" i="15"/>
  <c r="IM4" i="15"/>
  <c r="IN4" i="15"/>
  <c r="IO4" i="15"/>
  <c r="IP4" i="15"/>
  <c r="IQ4" i="15"/>
  <c r="IR4" i="15"/>
  <c r="IS4" i="15"/>
  <c r="IT4" i="15"/>
  <c r="IU4" i="15"/>
  <c r="IV4" i="15"/>
  <c r="A5" i="15"/>
  <c r="B5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V5" i="15"/>
  <c r="W5" i="15"/>
  <c r="X5" i="15"/>
  <c r="Y5" i="15"/>
  <c r="Z5" i="15"/>
  <c r="AA5" i="15"/>
  <c r="AB5" i="15"/>
  <c r="AC5" i="15"/>
  <c r="AD5" i="15"/>
  <c r="AE5" i="15"/>
  <c r="AF5" i="15"/>
  <c r="AG5" i="15"/>
  <c r="AH5" i="15"/>
  <c r="AI5" i="15"/>
  <c r="AJ5" i="15"/>
  <c r="AK5" i="15"/>
  <c r="AL5" i="15"/>
  <c r="AM5" i="15"/>
  <c r="AN5" i="15"/>
  <c r="AO5" i="15"/>
  <c r="AP5" i="15"/>
  <c r="AQ5" i="15"/>
  <c r="AR5" i="15"/>
  <c r="AS5" i="15"/>
  <c r="AT5" i="15"/>
  <c r="AU5" i="15"/>
  <c r="AV5" i="15"/>
  <c r="AW5" i="15"/>
  <c r="AX5" i="15"/>
  <c r="AY5" i="15"/>
  <c r="AZ5" i="15"/>
  <c r="BA5" i="15"/>
  <c r="BB5" i="15"/>
  <c r="BC5" i="15"/>
  <c r="BD5" i="15"/>
  <c r="BE5" i="15"/>
  <c r="BF5" i="15"/>
  <c r="BG5" i="15"/>
  <c r="BH5" i="15"/>
  <c r="BI5" i="15"/>
  <c r="BJ5" i="15"/>
  <c r="BK5" i="15"/>
  <c r="BL5" i="15"/>
  <c r="BM5" i="15"/>
  <c r="BN5" i="15"/>
  <c r="BO5" i="15"/>
  <c r="BP5" i="15"/>
  <c r="BQ5" i="15"/>
  <c r="BR5" i="15"/>
  <c r="BS5" i="15"/>
  <c r="BT5" i="15"/>
  <c r="BU5" i="15"/>
  <c r="BV5" i="15"/>
  <c r="BW5" i="15"/>
  <c r="BX5" i="15"/>
  <c r="BY5" i="15"/>
  <c r="BZ5" i="15"/>
  <c r="CA5" i="15"/>
  <c r="CB5" i="15"/>
  <c r="CC5" i="15"/>
  <c r="CD5" i="15"/>
  <c r="CE5" i="15"/>
  <c r="CF5" i="15"/>
  <c r="CG5" i="15"/>
  <c r="CH5" i="15"/>
  <c r="CI5" i="15"/>
  <c r="CJ5" i="15"/>
  <c r="CK5" i="15"/>
  <c r="CL5" i="15"/>
  <c r="CM5" i="15"/>
  <c r="CN5" i="15"/>
  <c r="CO5" i="15"/>
  <c r="CP5" i="15"/>
  <c r="CQ5" i="15"/>
  <c r="CR5" i="15"/>
  <c r="CS5" i="15"/>
  <c r="CT5" i="15"/>
  <c r="CU5" i="15"/>
  <c r="CV5" i="15"/>
  <c r="CW5" i="15"/>
  <c r="CX5" i="15"/>
  <c r="CY5" i="15"/>
  <c r="CZ5" i="15"/>
  <c r="DA5" i="15"/>
  <c r="DB5" i="15"/>
  <c r="DC5" i="15"/>
  <c r="DD5" i="15"/>
  <c r="DE5" i="15"/>
  <c r="DF5" i="15"/>
  <c r="DG5" i="15"/>
  <c r="DH5" i="15"/>
  <c r="DI5" i="15"/>
  <c r="DJ5" i="15"/>
  <c r="DK5" i="15"/>
  <c r="DL5" i="15"/>
  <c r="DM5" i="15"/>
  <c r="DN5" i="15"/>
  <c r="DO5" i="15"/>
  <c r="DP5" i="15"/>
  <c r="DQ5" i="15"/>
  <c r="DR5" i="15"/>
  <c r="DS5" i="15"/>
  <c r="DT5" i="15"/>
  <c r="DU5" i="15"/>
  <c r="DV5" i="15"/>
  <c r="DW5" i="15"/>
  <c r="DX5" i="15"/>
  <c r="DY5" i="15"/>
  <c r="DZ5" i="15"/>
  <c r="EA5" i="15"/>
  <c r="EB5" i="15"/>
  <c r="EC5" i="15"/>
  <c r="ED5" i="15"/>
  <c r="EE5" i="15"/>
  <c r="EF5" i="15"/>
  <c r="EG5" i="15"/>
  <c r="EH5" i="15"/>
  <c r="EI5" i="15"/>
  <c r="EJ5" i="15"/>
  <c r="EK5" i="15"/>
  <c r="EL5" i="15"/>
  <c r="EM5" i="15"/>
  <c r="EN5" i="15"/>
  <c r="EO5" i="15"/>
  <c r="EP5" i="15"/>
  <c r="EQ5" i="15"/>
  <c r="ER5" i="15"/>
  <c r="ES5" i="15"/>
  <c r="ET5" i="15"/>
  <c r="EU5" i="15"/>
  <c r="EV5" i="15"/>
  <c r="EW5" i="15"/>
  <c r="EX5" i="15"/>
  <c r="EY5" i="15"/>
  <c r="EZ5" i="15"/>
  <c r="FA5" i="15"/>
  <c r="FB5" i="15"/>
  <c r="FC5" i="15"/>
  <c r="FD5" i="15"/>
  <c r="FE5" i="15"/>
  <c r="FF5" i="15"/>
  <c r="FG5" i="15"/>
  <c r="FH5" i="15"/>
  <c r="FI5" i="15"/>
  <c r="FJ5" i="15"/>
  <c r="FK5" i="15"/>
  <c r="FL5" i="15"/>
  <c r="FM5" i="15"/>
  <c r="FN5" i="15"/>
  <c r="FO5" i="15"/>
  <c r="FP5" i="15"/>
  <c r="FQ5" i="15"/>
  <c r="FR5" i="15"/>
  <c r="FS5" i="15"/>
  <c r="FT5" i="15"/>
  <c r="FU5" i="15"/>
  <c r="FV5" i="15"/>
  <c r="FW5" i="15"/>
  <c r="FX5" i="15"/>
  <c r="FY5" i="15"/>
  <c r="FZ5" i="15"/>
  <c r="GA5" i="15"/>
  <c r="GB5" i="15"/>
  <c r="GC5" i="15"/>
  <c r="GD5" i="15"/>
  <c r="GE5" i="15"/>
  <c r="GF5" i="15"/>
  <c r="GG5" i="15"/>
  <c r="GH5" i="15"/>
  <c r="GI5" i="15"/>
  <c r="GJ5" i="15"/>
  <c r="GK5" i="15"/>
  <c r="GL5" i="15"/>
  <c r="GM5" i="15"/>
  <c r="GN5" i="15"/>
  <c r="GO5" i="15"/>
  <c r="GP5" i="15"/>
  <c r="GQ5" i="15"/>
  <c r="GR5" i="15"/>
  <c r="GS5" i="15"/>
  <c r="GT5" i="15"/>
  <c r="GU5" i="15"/>
  <c r="GV5" i="15"/>
  <c r="GW5" i="15"/>
  <c r="GX5" i="15"/>
  <c r="GY5" i="15"/>
  <c r="GZ5" i="15"/>
  <c r="HA5" i="15"/>
  <c r="HB5" i="15"/>
  <c r="HC5" i="15"/>
  <c r="HD5" i="15"/>
  <c r="HE5" i="15"/>
  <c r="HF5" i="15"/>
  <c r="HG5" i="15"/>
  <c r="HH5" i="15"/>
  <c r="HI5" i="15"/>
  <c r="HJ5" i="15"/>
  <c r="HK5" i="15"/>
  <c r="HL5" i="15"/>
  <c r="HM5" i="15"/>
  <c r="HN5" i="15"/>
  <c r="HO5" i="15"/>
  <c r="HP5" i="15"/>
  <c r="HQ5" i="15"/>
  <c r="HR5" i="15"/>
  <c r="HS5" i="15"/>
  <c r="HT5" i="15"/>
  <c r="HU5" i="15"/>
  <c r="HV5" i="15"/>
  <c r="HW5" i="15"/>
  <c r="HX5" i="15"/>
  <c r="HY5" i="15"/>
  <c r="HZ5" i="15"/>
  <c r="IA5" i="15"/>
  <c r="IB5" i="15"/>
  <c r="IC5" i="15"/>
  <c r="ID5" i="15"/>
  <c r="IE5" i="15"/>
  <c r="IF5" i="15"/>
  <c r="IG5" i="15"/>
  <c r="IH5" i="15"/>
  <c r="II5" i="15"/>
  <c r="IJ5" i="15"/>
  <c r="IK5" i="15"/>
  <c r="IL5" i="15"/>
  <c r="IM5" i="15"/>
  <c r="IN5" i="15"/>
  <c r="IO5" i="15"/>
  <c r="IP5" i="15"/>
  <c r="IQ5" i="15"/>
  <c r="IR5" i="15"/>
  <c r="IS5" i="15"/>
  <c r="IT5" i="15"/>
  <c r="IU5" i="15"/>
  <c r="IV5" i="15"/>
  <c r="A6" i="15"/>
  <c r="B6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U6" i="15"/>
  <c r="V6" i="15"/>
  <c r="W6" i="15"/>
  <c r="X6" i="15"/>
  <c r="Y6" i="15"/>
  <c r="Z6" i="15"/>
  <c r="AA6" i="15"/>
  <c r="AB6" i="15"/>
  <c r="AC6" i="15"/>
  <c r="AD6" i="15"/>
  <c r="AE6" i="15"/>
  <c r="AF6" i="15"/>
  <c r="AG6" i="15"/>
  <c r="AH6" i="15"/>
  <c r="AI6" i="15"/>
  <c r="AJ6" i="15"/>
  <c r="AK6" i="15"/>
  <c r="AL6" i="15"/>
  <c r="AM6" i="15"/>
  <c r="AN6" i="15"/>
  <c r="AO6" i="15"/>
  <c r="AP6" i="15"/>
  <c r="AQ6" i="15"/>
  <c r="AR6" i="15"/>
  <c r="AS6" i="15"/>
  <c r="AT6" i="15"/>
  <c r="AU6" i="15"/>
  <c r="AV6" i="15"/>
  <c r="AW6" i="15"/>
  <c r="AX6" i="15"/>
  <c r="AY6" i="15"/>
  <c r="AZ6" i="15"/>
  <c r="BA6" i="15"/>
  <c r="BB6" i="15"/>
  <c r="BC6" i="15"/>
  <c r="BD6" i="15"/>
  <c r="BE6" i="15"/>
  <c r="BF6" i="15"/>
  <c r="BG6" i="15"/>
  <c r="BH6" i="15"/>
  <c r="BI6" i="15"/>
  <c r="BJ6" i="15"/>
  <c r="BK6" i="15"/>
  <c r="BL6" i="15"/>
  <c r="BM6" i="15"/>
  <c r="BN6" i="15"/>
  <c r="BO6" i="15"/>
  <c r="BP6" i="15"/>
  <c r="BQ6" i="15"/>
  <c r="BR6" i="15"/>
  <c r="BS6" i="15"/>
  <c r="BT6" i="15"/>
  <c r="BU6" i="15"/>
  <c r="BV6" i="15"/>
  <c r="BW6" i="15"/>
  <c r="BX6" i="15"/>
  <c r="BY6" i="15"/>
  <c r="BZ6" i="15"/>
  <c r="CA6" i="15"/>
  <c r="CB6" i="15"/>
  <c r="CC6" i="15"/>
  <c r="CD6" i="15"/>
  <c r="CE6" i="15"/>
  <c r="CF6" i="15"/>
  <c r="CG6" i="15"/>
  <c r="CH6" i="15"/>
  <c r="CI6" i="15"/>
  <c r="CJ6" i="15"/>
  <c r="CK6" i="15"/>
  <c r="CL6" i="15"/>
  <c r="CM6" i="15"/>
  <c r="CN6" i="15"/>
  <c r="CO6" i="15"/>
  <c r="CP6" i="15"/>
  <c r="CQ6" i="15"/>
  <c r="CR6" i="15"/>
  <c r="CS6" i="15"/>
  <c r="CT6" i="15"/>
  <c r="CU6" i="15"/>
  <c r="CV6" i="15"/>
  <c r="CW6" i="15"/>
  <c r="CX6" i="15"/>
  <c r="CY6" i="15"/>
  <c r="CZ6" i="15"/>
  <c r="DA6" i="15"/>
  <c r="DB6" i="15"/>
  <c r="DC6" i="15"/>
  <c r="DD6" i="15"/>
  <c r="DE6" i="15"/>
  <c r="DF6" i="15"/>
  <c r="DG6" i="15"/>
  <c r="DH6" i="15"/>
  <c r="DI6" i="15"/>
  <c r="DJ6" i="15"/>
  <c r="DK6" i="15"/>
  <c r="DL6" i="15"/>
  <c r="DM6" i="15"/>
  <c r="DN6" i="15"/>
  <c r="DO6" i="15"/>
  <c r="DP6" i="15"/>
  <c r="DQ6" i="15"/>
  <c r="DR6" i="15"/>
  <c r="DS6" i="15"/>
  <c r="DT6" i="15"/>
  <c r="DU6" i="15"/>
  <c r="DV6" i="15"/>
  <c r="DW6" i="15"/>
  <c r="DX6" i="15"/>
  <c r="DY6" i="15"/>
  <c r="DZ6" i="15"/>
  <c r="EA6" i="15"/>
  <c r="EB6" i="15"/>
  <c r="EC6" i="15"/>
  <c r="ED6" i="15"/>
  <c r="EE6" i="15"/>
  <c r="EF6" i="15"/>
  <c r="EG6" i="15"/>
  <c r="EH6" i="15"/>
  <c r="EI6" i="15"/>
  <c r="EJ6" i="15"/>
  <c r="EK6" i="15"/>
  <c r="EL6" i="15"/>
  <c r="EM6" i="15"/>
  <c r="EN6" i="15"/>
  <c r="EO6" i="15"/>
  <c r="EP6" i="15"/>
  <c r="EQ6" i="15"/>
  <c r="ER6" i="15"/>
  <c r="ES6" i="15"/>
  <c r="ET6" i="15"/>
  <c r="EU6" i="15"/>
  <c r="EV6" i="15"/>
  <c r="EW6" i="15"/>
  <c r="EX6" i="15"/>
  <c r="EY6" i="15"/>
  <c r="EZ6" i="15"/>
  <c r="FA6" i="15"/>
  <c r="FB6" i="15"/>
  <c r="FC6" i="15"/>
  <c r="FD6" i="15"/>
  <c r="FE6" i="15"/>
  <c r="FF6" i="15"/>
  <c r="FG6" i="15"/>
  <c r="FH6" i="15"/>
  <c r="FI6" i="15"/>
  <c r="FJ6" i="15"/>
  <c r="FK6" i="15"/>
  <c r="FL6" i="15"/>
  <c r="FM6" i="15"/>
  <c r="FN6" i="15"/>
  <c r="FO6" i="15"/>
  <c r="FP6" i="15"/>
  <c r="FQ6" i="15"/>
  <c r="FR6" i="15"/>
  <c r="FS6" i="15"/>
  <c r="FT6" i="15"/>
  <c r="FU6" i="15"/>
  <c r="FV6" i="15"/>
  <c r="FW6" i="15"/>
  <c r="FX6" i="15"/>
  <c r="FY6" i="15"/>
  <c r="FZ6" i="15"/>
  <c r="GA6" i="15"/>
  <c r="GB6" i="15"/>
  <c r="GC6" i="15"/>
  <c r="GD6" i="15"/>
  <c r="GE6" i="15"/>
  <c r="GF6" i="15"/>
  <c r="GG6" i="15"/>
  <c r="GH6" i="15"/>
  <c r="GI6" i="15"/>
  <c r="GJ6" i="15"/>
  <c r="GK6" i="15"/>
  <c r="GL6" i="15"/>
  <c r="GM6" i="15"/>
  <c r="GN6" i="15"/>
  <c r="GO6" i="15"/>
  <c r="GP6" i="15"/>
  <c r="GQ6" i="15"/>
  <c r="GR6" i="15"/>
  <c r="GS6" i="15"/>
  <c r="GT6" i="15"/>
  <c r="GU6" i="15"/>
  <c r="GV6" i="15"/>
  <c r="GW6" i="15"/>
  <c r="GX6" i="15"/>
  <c r="GY6" i="15"/>
  <c r="GZ6" i="15"/>
  <c r="HA6" i="15"/>
  <c r="HB6" i="15"/>
  <c r="HC6" i="15"/>
  <c r="HD6" i="15"/>
  <c r="HE6" i="15"/>
  <c r="HF6" i="15"/>
  <c r="HG6" i="15"/>
  <c r="HH6" i="15"/>
  <c r="HI6" i="15"/>
  <c r="HJ6" i="15"/>
  <c r="HK6" i="15"/>
  <c r="HL6" i="15"/>
  <c r="HM6" i="15"/>
  <c r="HN6" i="15"/>
  <c r="HO6" i="15"/>
  <c r="HP6" i="15"/>
  <c r="HQ6" i="15"/>
  <c r="HR6" i="15"/>
  <c r="HS6" i="15"/>
  <c r="HT6" i="15"/>
  <c r="HU6" i="15"/>
  <c r="HV6" i="15"/>
  <c r="HW6" i="15"/>
  <c r="HX6" i="15"/>
  <c r="HY6" i="15"/>
  <c r="HZ6" i="15"/>
  <c r="IA6" i="15"/>
  <c r="IB6" i="15"/>
  <c r="IC6" i="15"/>
  <c r="ID6" i="15"/>
  <c r="IE6" i="15"/>
  <c r="IF6" i="15"/>
  <c r="IG6" i="15"/>
  <c r="IH6" i="15"/>
  <c r="II6" i="15"/>
  <c r="IJ6" i="15"/>
  <c r="IK6" i="15"/>
  <c r="IL6" i="15"/>
  <c r="IM6" i="15"/>
  <c r="IN6" i="15"/>
  <c r="IO6" i="15"/>
  <c r="IP6" i="15"/>
  <c r="IQ6" i="15"/>
  <c r="IR6" i="15"/>
  <c r="IS6" i="15"/>
  <c r="IT6" i="15"/>
  <c r="IU6" i="15"/>
  <c r="IV6" i="15"/>
  <c r="A7" i="15"/>
  <c r="B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CY7" i="15"/>
  <c r="CZ7" i="15"/>
  <c r="DA7" i="15"/>
  <c r="DB7" i="15"/>
  <c r="DC7" i="15"/>
  <c r="DD7" i="15"/>
  <c r="DE7" i="15"/>
  <c r="DF7" i="15"/>
  <c r="DG7" i="15"/>
  <c r="DH7" i="15"/>
  <c r="DI7" i="15"/>
  <c r="DJ7" i="15"/>
  <c r="DK7" i="15"/>
  <c r="DL7" i="15"/>
  <c r="DM7" i="15"/>
  <c r="DN7" i="15"/>
  <c r="DO7" i="15"/>
  <c r="DP7" i="15"/>
  <c r="DQ7" i="15"/>
  <c r="DR7" i="15"/>
  <c r="DS7" i="15"/>
  <c r="DT7" i="15"/>
  <c r="DU7" i="15"/>
  <c r="DV7" i="15"/>
  <c r="DW7" i="15"/>
  <c r="DX7" i="15"/>
  <c r="DY7" i="15"/>
  <c r="DZ7" i="15"/>
  <c r="EA7" i="15"/>
  <c r="EB7" i="15"/>
  <c r="EC7" i="15"/>
  <c r="ED7" i="15"/>
  <c r="EE7" i="15"/>
  <c r="EF7" i="15"/>
  <c r="EG7" i="15"/>
  <c r="EH7" i="15"/>
  <c r="EI7" i="15"/>
  <c r="EJ7" i="15"/>
  <c r="EK7" i="15"/>
  <c r="EL7" i="15"/>
  <c r="EM7" i="15"/>
  <c r="EN7" i="15"/>
  <c r="EO7" i="15"/>
  <c r="EP7" i="15"/>
  <c r="EQ7" i="15"/>
  <c r="ER7" i="15"/>
  <c r="ES7" i="15"/>
  <c r="ET7" i="15"/>
  <c r="EU7" i="15"/>
  <c r="EV7" i="15"/>
  <c r="EW7" i="15"/>
  <c r="EX7" i="15"/>
  <c r="EY7" i="15"/>
  <c r="EZ7" i="15"/>
  <c r="FA7" i="15"/>
  <c r="FB7" i="15"/>
  <c r="FC7" i="15"/>
  <c r="FD7" i="15"/>
  <c r="FE7" i="15"/>
  <c r="FF7" i="15"/>
  <c r="FG7" i="15"/>
  <c r="FH7" i="15"/>
  <c r="FI7" i="15"/>
  <c r="FJ7" i="15"/>
  <c r="FK7" i="15"/>
  <c r="FL7" i="15"/>
  <c r="FM7" i="15"/>
  <c r="FN7" i="15"/>
  <c r="FO7" i="15"/>
  <c r="FP7" i="15"/>
  <c r="FQ7" i="15"/>
  <c r="FR7" i="15"/>
  <c r="FS7" i="15"/>
  <c r="FT7" i="15"/>
  <c r="FU7" i="15"/>
  <c r="FV7" i="15"/>
  <c r="FW7" i="15"/>
  <c r="FX7" i="15"/>
  <c r="FY7" i="15"/>
  <c r="FZ7" i="15"/>
  <c r="GA7" i="15"/>
  <c r="GB7" i="15"/>
  <c r="GC7" i="15"/>
  <c r="GD7" i="15"/>
  <c r="GE7" i="15"/>
  <c r="GF7" i="15"/>
  <c r="GG7" i="15"/>
  <c r="GH7" i="15"/>
  <c r="GI7" i="15"/>
  <c r="GJ7" i="15"/>
  <c r="GK7" i="15"/>
  <c r="GL7" i="15"/>
  <c r="GM7" i="15"/>
  <c r="GN7" i="15"/>
  <c r="GO7" i="15"/>
  <c r="GP7" i="15"/>
  <c r="GQ7" i="15"/>
  <c r="GR7" i="15"/>
  <c r="GS7" i="15"/>
  <c r="GT7" i="15"/>
  <c r="GU7" i="15"/>
  <c r="GV7" i="15"/>
  <c r="GW7" i="15"/>
  <c r="GX7" i="15"/>
  <c r="GY7" i="15"/>
  <c r="GZ7" i="15"/>
  <c r="HA7" i="15"/>
  <c r="HB7" i="15"/>
  <c r="HC7" i="15"/>
  <c r="HD7" i="15"/>
  <c r="HE7" i="15"/>
  <c r="HF7" i="15"/>
  <c r="HG7" i="15"/>
  <c r="HH7" i="15"/>
  <c r="HI7" i="15"/>
  <c r="HJ7" i="15"/>
  <c r="HK7" i="15"/>
  <c r="HL7" i="15"/>
  <c r="HM7" i="15"/>
  <c r="HN7" i="15"/>
  <c r="HO7" i="15"/>
  <c r="HP7" i="15"/>
  <c r="HQ7" i="15"/>
  <c r="HR7" i="15"/>
  <c r="HS7" i="15"/>
  <c r="HT7" i="15"/>
  <c r="HU7" i="15"/>
  <c r="HV7" i="15"/>
  <c r="HW7" i="15"/>
  <c r="HX7" i="15"/>
  <c r="HY7" i="15"/>
  <c r="HZ7" i="15"/>
  <c r="IA7" i="15"/>
  <c r="IB7" i="15"/>
  <c r="IC7" i="15"/>
  <c r="ID7" i="15"/>
  <c r="IE7" i="15"/>
  <c r="IF7" i="15"/>
  <c r="IG7" i="15"/>
  <c r="IH7" i="15"/>
  <c r="II7" i="15"/>
  <c r="IJ7" i="15"/>
  <c r="IK7" i="15"/>
  <c r="IL7" i="15"/>
  <c r="IM7" i="15"/>
  <c r="IN7" i="15"/>
  <c r="IO7" i="15"/>
  <c r="IP7" i="15"/>
  <c r="IQ7" i="15"/>
  <c r="IR7" i="15"/>
  <c r="IS7" i="15"/>
  <c r="IT7" i="15"/>
  <c r="IU7" i="15"/>
  <c r="IV7" i="15"/>
  <c r="A8" i="15"/>
  <c r="B8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AJ8" i="15"/>
  <c r="AK8" i="15"/>
  <c r="AL8" i="15"/>
  <c r="AM8" i="15"/>
  <c r="AN8" i="15"/>
  <c r="AO8" i="15"/>
  <c r="AP8" i="15"/>
  <c r="AQ8" i="15"/>
  <c r="AR8" i="15"/>
  <c r="AS8" i="15"/>
  <c r="AT8" i="15"/>
  <c r="AU8" i="15"/>
  <c r="AV8" i="15"/>
  <c r="AW8" i="15"/>
  <c r="AX8" i="15"/>
  <c r="AY8" i="15"/>
  <c r="AZ8" i="15"/>
  <c r="BA8" i="15"/>
  <c r="BB8" i="15"/>
  <c r="BC8" i="15"/>
  <c r="BD8" i="15"/>
  <c r="BE8" i="15"/>
  <c r="BF8" i="15"/>
  <c r="BG8" i="15"/>
  <c r="BH8" i="15"/>
  <c r="BI8" i="15"/>
  <c r="BJ8" i="15"/>
  <c r="BK8" i="15"/>
  <c r="BL8" i="15"/>
  <c r="BM8" i="15"/>
  <c r="BN8" i="15"/>
  <c r="BO8" i="15"/>
  <c r="BP8" i="15"/>
  <c r="BQ8" i="15"/>
  <c r="BR8" i="15"/>
  <c r="BS8" i="15"/>
  <c r="BT8" i="15"/>
  <c r="BU8" i="15"/>
  <c r="BV8" i="15"/>
  <c r="BW8" i="15"/>
  <c r="BX8" i="15"/>
  <c r="BY8" i="15"/>
  <c r="BZ8" i="15"/>
  <c r="CA8" i="15"/>
  <c r="CB8" i="15"/>
  <c r="CC8" i="15"/>
  <c r="CD8" i="15"/>
  <c r="CE8" i="15"/>
  <c r="CF8" i="15"/>
  <c r="CG8" i="15"/>
  <c r="CH8" i="15"/>
  <c r="CI8" i="15"/>
  <c r="CJ8" i="15"/>
  <c r="CK8" i="15"/>
  <c r="CL8" i="15"/>
  <c r="CM8" i="15"/>
  <c r="CN8" i="15"/>
  <c r="CO8" i="15"/>
  <c r="CP8" i="15"/>
  <c r="CQ8" i="15"/>
  <c r="CR8" i="15"/>
  <c r="CS8" i="15"/>
  <c r="CT8" i="15"/>
  <c r="CU8" i="15"/>
  <c r="CV8" i="15"/>
  <c r="CW8" i="15"/>
  <c r="CX8" i="15"/>
  <c r="CY8" i="15"/>
  <c r="CZ8" i="15"/>
  <c r="DA8" i="15"/>
  <c r="DB8" i="15"/>
  <c r="DC8" i="15"/>
  <c r="DD8" i="15"/>
  <c r="DE8" i="15"/>
  <c r="DF8" i="15"/>
  <c r="DG8" i="15"/>
  <c r="DH8" i="15"/>
  <c r="DI8" i="15"/>
  <c r="DJ8" i="15"/>
  <c r="DK8" i="15"/>
  <c r="DL8" i="15"/>
  <c r="DM8" i="15"/>
  <c r="DN8" i="15"/>
  <c r="DO8" i="15"/>
  <c r="DP8" i="15"/>
  <c r="DQ8" i="15"/>
  <c r="DR8" i="15"/>
  <c r="DS8" i="15"/>
  <c r="DT8" i="15"/>
  <c r="DU8" i="15"/>
  <c r="DV8" i="15"/>
  <c r="DW8" i="15"/>
  <c r="DX8" i="15"/>
  <c r="DY8" i="15"/>
  <c r="DZ8" i="15"/>
  <c r="EA8" i="15"/>
  <c r="EB8" i="15"/>
  <c r="EC8" i="15"/>
  <c r="ED8" i="15"/>
  <c r="EE8" i="15"/>
  <c r="EF8" i="15"/>
  <c r="EG8" i="15"/>
  <c r="EH8" i="15"/>
  <c r="EI8" i="15"/>
  <c r="EJ8" i="15"/>
  <c r="EK8" i="15"/>
  <c r="EL8" i="15"/>
  <c r="EM8" i="15"/>
  <c r="EN8" i="15"/>
  <c r="EO8" i="15"/>
  <c r="EP8" i="15"/>
  <c r="EQ8" i="15"/>
  <c r="ER8" i="15"/>
  <c r="ES8" i="15"/>
  <c r="ET8" i="15"/>
  <c r="EU8" i="15"/>
  <c r="EV8" i="15"/>
  <c r="EW8" i="15"/>
  <c r="EX8" i="15"/>
  <c r="EY8" i="15"/>
  <c r="EZ8" i="15"/>
  <c r="FA8" i="15"/>
  <c r="FB8" i="15"/>
  <c r="FC8" i="15"/>
  <c r="FD8" i="15"/>
  <c r="FE8" i="15"/>
  <c r="FF8" i="15"/>
  <c r="FG8" i="15"/>
  <c r="FH8" i="15"/>
  <c r="FI8" i="15"/>
  <c r="FJ8" i="15"/>
  <c r="FK8" i="15"/>
  <c r="FL8" i="15"/>
  <c r="FM8" i="15"/>
  <c r="FN8" i="15"/>
  <c r="FO8" i="15"/>
  <c r="FP8" i="15"/>
  <c r="FQ8" i="15"/>
  <c r="FR8" i="15"/>
  <c r="FS8" i="15"/>
  <c r="FT8" i="15"/>
  <c r="FU8" i="15"/>
  <c r="FV8" i="15"/>
  <c r="FW8" i="15"/>
  <c r="FX8" i="15"/>
  <c r="FY8" i="15"/>
  <c r="FZ8" i="15"/>
  <c r="GA8" i="15"/>
  <c r="GB8" i="15"/>
  <c r="GC8" i="15"/>
  <c r="GD8" i="15"/>
  <c r="GE8" i="15"/>
  <c r="GF8" i="15"/>
  <c r="GG8" i="15"/>
  <c r="GH8" i="15"/>
  <c r="GI8" i="15"/>
  <c r="GJ8" i="15"/>
  <c r="GK8" i="15"/>
  <c r="GL8" i="15"/>
  <c r="GM8" i="15"/>
  <c r="GN8" i="15"/>
  <c r="GO8" i="15"/>
  <c r="GP8" i="15"/>
  <c r="GQ8" i="15"/>
  <c r="GR8" i="15"/>
  <c r="GS8" i="15"/>
  <c r="GT8" i="15"/>
  <c r="GU8" i="15"/>
  <c r="GV8" i="15"/>
  <c r="GW8" i="15"/>
  <c r="GX8" i="15"/>
  <c r="GY8" i="15"/>
  <c r="GZ8" i="15"/>
  <c r="HA8" i="15"/>
  <c r="HB8" i="15"/>
  <c r="HC8" i="15"/>
  <c r="HD8" i="15"/>
  <c r="HE8" i="15"/>
  <c r="HF8" i="15"/>
  <c r="HG8" i="15"/>
  <c r="HH8" i="15"/>
  <c r="HI8" i="15"/>
  <c r="HJ8" i="15"/>
  <c r="HK8" i="15"/>
  <c r="HL8" i="15"/>
  <c r="HM8" i="15"/>
  <c r="HN8" i="15"/>
  <c r="HO8" i="15"/>
  <c r="HP8" i="15"/>
  <c r="HQ8" i="15"/>
  <c r="HR8" i="15"/>
  <c r="HS8" i="15"/>
  <c r="HT8" i="15"/>
  <c r="HU8" i="15"/>
  <c r="HV8" i="15"/>
  <c r="HW8" i="15"/>
  <c r="HX8" i="15"/>
  <c r="HY8" i="15"/>
  <c r="HZ8" i="15"/>
  <c r="IA8" i="15"/>
  <c r="IB8" i="15"/>
  <c r="IC8" i="15"/>
  <c r="ID8" i="15"/>
  <c r="IE8" i="15"/>
  <c r="IF8" i="15"/>
  <c r="IG8" i="15"/>
  <c r="IH8" i="15"/>
  <c r="II8" i="15"/>
  <c r="IJ8" i="15"/>
  <c r="IK8" i="15"/>
  <c r="IL8" i="15"/>
  <c r="IM8" i="15"/>
  <c r="IN8" i="15"/>
  <c r="IO8" i="15"/>
  <c r="IP8" i="15"/>
  <c r="IQ8" i="15"/>
  <c r="IR8" i="15"/>
  <c r="IS8" i="15"/>
  <c r="IT8" i="15"/>
  <c r="IU8" i="15"/>
  <c r="IV8" i="15"/>
  <c r="A9" i="15"/>
  <c r="B9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Z9" i="15"/>
  <c r="AA9" i="15"/>
  <c r="AB9" i="15"/>
  <c r="AC9" i="15"/>
  <c r="AD9" i="15"/>
  <c r="AE9" i="15"/>
  <c r="AF9" i="15"/>
  <c r="AG9" i="15"/>
  <c r="AH9" i="15"/>
  <c r="AI9" i="15"/>
  <c r="AJ9" i="15"/>
  <c r="AK9" i="15"/>
  <c r="AL9" i="15"/>
  <c r="AM9" i="15"/>
  <c r="AN9" i="15"/>
  <c r="AO9" i="15"/>
  <c r="AP9" i="15"/>
  <c r="AQ9" i="15"/>
  <c r="AR9" i="15"/>
  <c r="AS9" i="15"/>
  <c r="AT9" i="15"/>
  <c r="AU9" i="15"/>
  <c r="AV9" i="15"/>
  <c r="AW9" i="15"/>
  <c r="AX9" i="15"/>
  <c r="AY9" i="15"/>
  <c r="AZ9" i="15"/>
  <c r="BA9" i="15"/>
  <c r="BB9" i="15"/>
  <c r="BC9" i="15"/>
  <c r="BD9" i="15"/>
  <c r="BE9" i="15"/>
  <c r="BF9" i="15"/>
  <c r="BG9" i="15"/>
  <c r="BH9" i="15"/>
  <c r="BI9" i="15"/>
  <c r="BJ9" i="15"/>
  <c r="BK9" i="15"/>
  <c r="BL9" i="15"/>
  <c r="BM9" i="15"/>
  <c r="BN9" i="15"/>
  <c r="BO9" i="15"/>
  <c r="BP9" i="15"/>
  <c r="BQ9" i="15"/>
  <c r="BR9" i="15"/>
  <c r="BS9" i="15"/>
  <c r="BT9" i="15"/>
  <c r="BU9" i="15"/>
  <c r="BV9" i="15"/>
  <c r="BW9" i="15"/>
  <c r="BX9" i="15"/>
  <c r="BY9" i="15"/>
  <c r="BZ9" i="15"/>
  <c r="CA9" i="15"/>
  <c r="CB9" i="15"/>
  <c r="CC9" i="15"/>
  <c r="CD9" i="15"/>
  <c r="CE9" i="15"/>
  <c r="CF9" i="15"/>
  <c r="CG9" i="15"/>
  <c r="CH9" i="15"/>
  <c r="CI9" i="15"/>
  <c r="CJ9" i="15"/>
  <c r="CK9" i="15"/>
  <c r="CL9" i="15"/>
  <c r="CM9" i="15"/>
  <c r="CN9" i="15"/>
  <c r="CO9" i="15"/>
  <c r="CP9" i="15"/>
  <c r="CQ9" i="15"/>
  <c r="CR9" i="15"/>
  <c r="CS9" i="15"/>
  <c r="CT9" i="15"/>
  <c r="CU9" i="15"/>
  <c r="CV9" i="15"/>
  <c r="CW9" i="15"/>
  <c r="CX9" i="15"/>
  <c r="CY9" i="15"/>
  <c r="CZ9" i="15"/>
  <c r="DA9" i="15"/>
  <c r="DB9" i="15"/>
  <c r="DC9" i="15"/>
  <c r="DD9" i="15"/>
  <c r="DE9" i="15"/>
  <c r="DF9" i="15"/>
  <c r="DG9" i="15"/>
  <c r="DH9" i="15"/>
  <c r="DI9" i="15"/>
  <c r="DJ9" i="15"/>
  <c r="DK9" i="15"/>
  <c r="DL9" i="15"/>
  <c r="DM9" i="15"/>
  <c r="DN9" i="15"/>
  <c r="DO9" i="15"/>
  <c r="DP9" i="15"/>
  <c r="DQ9" i="15"/>
  <c r="DR9" i="15"/>
  <c r="DS9" i="15"/>
  <c r="DT9" i="15"/>
  <c r="DU9" i="15"/>
  <c r="DV9" i="15"/>
  <c r="DW9" i="15"/>
  <c r="DX9" i="15"/>
  <c r="DY9" i="15"/>
  <c r="DZ9" i="15"/>
  <c r="EA9" i="15"/>
  <c r="EB9" i="15"/>
  <c r="EC9" i="15"/>
  <c r="ED9" i="15"/>
  <c r="EE9" i="15"/>
  <c r="EF9" i="15"/>
  <c r="EG9" i="15"/>
  <c r="EH9" i="15"/>
  <c r="EI9" i="15"/>
  <c r="EJ9" i="15"/>
  <c r="EK9" i="15"/>
  <c r="EL9" i="15"/>
  <c r="EM9" i="15"/>
  <c r="EN9" i="15"/>
  <c r="EO9" i="15"/>
  <c r="EP9" i="15"/>
  <c r="EQ9" i="15"/>
  <c r="ER9" i="15"/>
  <c r="ES9" i="15"/>
  <c r="ET9" i="15"/>
  <c r="EU9" i="15"/>
  <c r="EV9" i="15"/>
  <c r="EW9" i="15"/>
  <c r="EX9" i="15"/>
  <c r="EY9" i="15"/>
  <c r="EZ9" i="15"/>
  <c r="FA9" i="15"/>
  <c r="FB9" i="15"/>
  <c r="FC9" i="15"/>
  <c r="FD9" i="15"/>
  <c r="FE9" i="15"/>
  <c r="FF9" i="15"/>
  <c r="FG9" i="15"/>
  <c r="FH9" i="15"/>
  <c r="FI9" i="15"/>
  <c r="FJ9" i="15"/>
  <c r="FK9" i="15"/>
  <c r="FL9" i="15"/>
  <c r="FM9" i="15"/>
  <c r="FN9" i="15"/>
  <c r="FO9" i="15"/>
  <c r="FP9" i="15"/>
  <c r="FQ9" i="15"/>
  <c r="FR9" i="15"/>
  <c r="FS9" i="15"/>
  <c r="FT9" i="15"/>
  <c r="FU9" i="15"/>
  <c r="FV9" i="15"/>
  <c r="FW9" i="15"/>
  <c r="FX9" i="15"/>
  <c r="FY9" i="15"/>
  <c r="FZ9" i="15"/>
  <c r="GA9" i="15"/>
  <c r="GB9" i="15"/>
  <c r="GC9" i="15"/>
  <c r="GD9" i="15"/>
  <c r="GE9" i="15"/>
  <c r="GF9" i="15"/>
  <c r="GG9" i="15"/>
  <c r="GH9" i="15"/>
  <c r="GI9" i="15"/>
  <c r="GJ9" i="15"/>
  <c r="GK9" i="15"/>
  <c r="GL9" i="15"/>
  <c r="GM9" i="15"/>
  <c r="GN9" i="15"/>
  <c r="GO9" i="15"/>
  <c r="GP9" i="15"/>
  <c r="GQ9" i="15"/>
  <c r="GR9" i="15"/>
  <c r="GS9" i="15"/>
  <c r="GT9" i="15"/>
  <c r="GU9" i="15"/>
  <c r="GV9" i="15"/>
  <c r="GW9" i="15"/>
  <c r="GX9" i="15"/>
  <c r="GY9" i="15"/>
  <c r="GZ9" i="15"/>
  <c r="HA9" i="15"/>
  <c r="HB9" i="15"/>
  <c r="HC9" i="15"/>
  <c r="HD9" i="15"/>
  <c r="HE9" i="15"/>
  <c r="HF9" i="15"/>
  <c r="HG9" i="15"/>
  <c r="HH9" i="15"/>
  <c r="HI9" i="15"/>
  <c r="HJ9" i="15"/>
  <c r="HK9" i="15"/>
  <c r="HL9" i="15"/>
  <c r="HM9" i="15"/>
  <c r="HN9" i="15"/>
  <c r="HO9" i="15"/>
  <c r="HP9" i="15"/>
  <c r="HQ9" i="15"/>
  <c r="HR9" i="15"/>
  <c r="HS9" i="15"/>
  <c r="HT9" i="15"/>
  <c r="HU9" i="15"/>
  <c r="HV9" i="15"/>
  <c r="HW9" i="15"/>
  <c r="HX9" i="15"/>
  <c r="HY9" i="15"/>
  <c r="HZ9" i="15"/>
  <c r="IA9" i="15"/>
  <c r="IB9" i="15"/>
  <c r="IC9" i="15"/>
  <c r="ID9" i="15"/>
  <c r="IE9" i="15"/>
  <c r="IF9" i="15"/>
  <c r="IG9" i="15"/>
  <c r="IH9" i="15"/>
  <c r="II9" i="15"/>
  <c r="IJ9" i="15"/>
  <c r="IK9" i="15"/>
  <c r="IL9" i="15"/>
  <c r="IM9" i="15"/>
  <c r="IN9" i="15"/>
  <c r="IO9" i="15"/>
  <c r="IP9" i="15"/>
  <c r="IQ9" i="15"/>
  <c r="IR9" i="15"/>
  <c r="IS9" i="15"/>
  <c r="IT9" i="15"/>
  <c r="IU9" i="15"/>
  <c r="IV9" i="15"/>
  <c r="A10" i="15"/>
  <c r="B10" i="15"/>
  <c r="C10" i="15"/>
  <c r="D10" i="15"/>
  <c r="E10" i="15"/>
  <c r="F10" i="15"/>
  <c r="H10" i="15"/>
  <c r="I10" i="15"/>
  <c r="N10" i="15"/>
  <c r="P10" i="15"/>
  <c r="Q10" i="15"/>
  <c r="R10" i="15"/>
  <c r="W10" i="15"/>
  <c r="Y10" i="15"/>
  <c r="Z10" i="15"/>
  <c r="AA10" i="15"/>
  <c r="AF10" i="15"/>
  <c r="AH10" i="15"/>
  <c r="AI10" i="15"/>
  <c r="AJ10" i="15"/>
  <c r="AK10" i="15"/>
  <c r="AL10" i="15"/>
  <c r="AM10" i="15"/>
  <c r="AN10" i="15"/>
  <c r="AO10" i="15"/>
  <c r="AP10" i="15"/>
  <c r="AQ10" i="15"/>
  <c r="AR10" i="15"/>
  <c r="AS10" i="15"/>
  <c r="AX10" i="15"/>
  <c r="AZ10" i="15"/>
  <c r="BA10" i="15"/>
  <c r="BB10" i="15"/>
  <c r="BG10" i="15"/>
  <c r="BI10" i="15"/>
  <c r="BJ10" i="15"/>
  <c r="BK10" i="15"/>
  <c r="BP10" i="15"/>
  <c r="BR10" i="15"/>
  <c r="BS10" i="15"/>
  <c r="BT10" i="15"/>
  <c r="BY10" i="15"/>
  <c r="CA10" i="15"/>
  <c r="CB10" i="15"/>
  <c r="CC10" i="15"/>
  <c r="CH10" i="15"/>
  <c r="CJ10" i="15"/>
  <c r="CK10" i="15"/>
  <c r="CL10" i="15"/>
  <c r="CQ10" i="15"/>
  <c r="CS10" i="15"/>
  <c r="CT10" i="15"/>
  <c r="CU10" i="15"/>
  <c r="CZ10" i="15"/>
  <c r="DB10" i="15"/>
  <c r="DC10" i="15"/>
  <c r="DD10" i="15"/>
  <c r="DI10" i="15"/>
  <c r="DK10" i="15"/>
  <c r="DL10" i="15"/>
  <c r="DM10" i="15"/>
  <c r="DR10" i="15"/>
  <c r="DT10" i="15"/>
  <c r="DU10" i="15"/>
  <c r="DV10" i="15"/>
  <c r="EA10" i="15"/>
  <c r="EC10" i="15"/>
  <c r="ED10" i="15"/>
  <c r="EE10" i="15"/>
  <c r="EJ10" i="15"/>
  <c r="EL10" i="15"/>
  <c r="EM10" i="15"/>
  <c r="EN10" i="15"/>
  <c r="ES10" i="15"/>
  <c r="EU10" i="15"/>
  <c r="EV10" i="15"/>
  <c r="EW10" i="15"/>
  <c r="EX10" i="15"/>
  <c r="EY10" i="15"/>
  <c r="EZ10" i="15"/>
  <c r="FA10" i="15"/>
  <c r="FB10" i="15"/>
  <c r="FC10" i="15"/>
  <c r="FD10" i="15"/>
  <c r="FE10" i="15"/>
  <c r="FF10" i="15"/>
  <c r="FG10" i="15"/>
  <c r="FH10" i="15"/>
  <c r="FI10" i="15"/>
  <c r="FJ10" i="15"/>
  <c r="FK10" i="15"/>
  <c r="FL10" i="15"/>
  <c r="FM10" i="15"/>
  <c r="FN10" i="15"/>
  <c r="FO10" i="15"/>
  <c r="FP10" i="15"/>
  <c r="FQ10" i="15"/>
  <c r="FR10" i="15"/>
  <c r="FS10" i="15"/>
  <c r="FT10" i="15"/>
  <c r="FU10" i="15"/>
  <c r="FV10" i="15"/>
  <c r="FW10" i="15"/>
  <c r="FX10" i="15"/>
  <c r="FY10" i="15"/>
  <c r="FZ10" i="15"/>
  <c r="GA10" i="15"/>
  <c r="GB10" i="15"/>
  <c r="GC10" i="15"/>
  <c r="GD10" i="15"/>
  <c r="GE10" i="15"/>
  <c r="GF10" i="15"/>
  <c r="GG10" i="15"/>
  <c r="GH10" i="15"/>
  <c r="GI10" i="15"/>
  <c r="GJ10" i="15"/>
  <c r="GK10" i="15"/>
  <c r="GL10" i="15"/>
  <c r="GM10" i="15"/>
  <c r="GN10" i="15"/>
  <c r="GO10" i="15"/>
  <c r="GP10" i="15"/>
  <c r="GQ10" i="15"/>
  <c r="GR10" i="15"/>
  <c r="GS10" i="15"/>
  <c r="GT10" i="15"/>
  <c r="GU10" i="15"/>
  <c r="GV10" i="15"/>
  <c r="GW10" i="15"/>
  <c r="GX10" i="15"/>
  <c r="GY10" i="15"/>
  <c r="GZ10" i="15"/>
  <c r="HA10" i="15"/>
  <c r="HB10" i="15"/>
  <c r="HC10" i="15"/>
  <c r="HD10" i="15"/>
  <c r="HE10" i="15"/>
  <c r="HF10" i="15"/>
  <c r="HG10" i="15"/>
  <c r="HH10" i="15"/>
  <c r="HI10" i="15"/>
  <c r="HJ10" i="15"/>
  <c r="HK10" i="15"/>
  <c r="HL10" i="15"/>
  <c r="HM10" i="15"/>
  <c r="HN10" i="15"/>
  <c r="HO10" i="15"/>
  <c r="HP10" i="15"/>
  <c r="HQ10" i="15"/>
  <c r="HR10" i="15"/>
  <c r="HS10" i="15"/>
  <c r="HT10" i="15"/>
  <c r="HU10" i="15"/>
  <c r="HV10" i="15"/>
  <c r="HW10" i="15"/>
  <c r="HX10" i="15"/>
  <c r="HY10" i="15"/>
  <c r="HZ10" i="15"/>
  <c r="IA10" i="15"/>
  <c r="IB10" i="15"/>
  <c r="IC10" i="15"/>
  <c r="ID10" i="15"/>
  <c r="IE10" i="15"/>
  <c r="IF10" i="15"/>
  <c r="IG10" i="15"/>
  <c r="IH10" i="15"/>
  <c r="II10" i="15"/>
  <c r="IJ10" i="15"/>
  <c r="IK10" i="15"/>
  <c r="IL10" i="15"/>
  <c r="IM10" i="15"/>
  <c r="IN10" i="15"/>
  <c r="IO10" i="15"/>
  <c r="IP10" i="15"/>
  <c r="IQ10" i="15"/>
  <c r="IR10" i="15"/>
  <c r="IS10" i="15"/>
  <c r="IT10" i="15"/>
  <c r="IU10" i="15"/>
  <c r="IV10" i="15"/>
  <c r="A11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A11" i="15"/>
  <c r="AB11" i="15"/>
  <c r="AC11" i="15"/>
  <c r="AD11" i="15"/>
  <c r="AE11" i="15"/>
  <c r="AF11" i="15"/>
  <c r="AG11" i="15"/>
  <c r="AH11" i="15"/>
  <c r="AI11" i="15"/>
  <c r="AJ11" i="15"/>
  <c r="AK11" i="15"/>
  <c r="AL11" i="15"/>
  <c r="AM11" i="15"/>
  <c r="AN11" i="15"/>
  <c r="AO11" i="15"/>
  <c r="AP11" i="15"/>
  <c r="AQ11" i="15"/>
  <c r="AR11" i="15"/>
  <c r="AS11" i="15"/>
  <c r="AT11" i="15"/>
  <c r="AU11" i="15"/>
  <c r="AV11" i="15"/>
  <c r="AW11" i="15"/>
  <c r="AX11" i="15"/>
  <c r="AY11" i="15"/>
  <c r="AZ11" i="15"/>
  <c r="BA11" i="15"/>
  <c r="BB11" i="15"/>
  <c r="BC11" i="15"/>
  <c r="BD11" i="15"/>
  <c r="BE11" i="15"/>
  <c r="BF11" i="15"/>
  <c r="BG11" i="15"/>
  <c r="BH11" i="15"/>
  <c r="BI11" i="15"/>
  <c r="BJ11" i="15"/>
  <c r="BK11" i="15"/>
  <c r="BL11" i="15"/>
  <c r="BM11" i="15"/>
  <c r="BN11" i="15"/>
  <c r="BO11" i="15"/>
  <c r="BP11" i="15"/>
  <c r="BQ11" i="15"/>
  <c r="BR11" i="15"/>
  <c r="BS11" i="15"/>
  <c r="BT11" i="15"/>
  <c r="BU11" i="15"/>
  <c r="BV11" i="15"/>
  <c r="BW11" i="15"/>
  <c r="BX11" i="15"/>
  <c r="BY11" i="15"/>
  <c r="BZ11" i="15"/>
  <c r="CA11" i="15"/>
  <c r="CB11" i="15"/>
  <c r="CC11" i="15"/>
  <c r="CD11" i="15"/>
  <c r="CE11" i="15"/>
  <c r="CF11" i="15"/>
  <c r="CG11" i="15"/>
  <c r="CH11" i="15"/>
  <c r="CI11" i="15"/>
  <c r="CJ11" i="15"/>
  <c r="CK11" i="15"/>
  <c r="CL11" i="15"/>
  <c r="CM11" i="15"/>
  <c r="CN11" i="15"/>
  <c r="CO11" i="15"/>
  <c r="CP11" i="15"/>
  <c r="CQ11" i="15"/>
  <c r="CR11" i="15"/>
  <c r="CS11" i="15"/>
  <c r="CT11" i="15"/>
  <c r="CU11" i="15"/>
  <c r="CV11" i="15"/>
  <c r="CW11" i="15"/>
  <c r="CX11" i="15"/>
  <c r="CY11" i="15"/>
  <c r="CZ11" i="15"/>
  <c r="DA11" i="15"/>
  <c r="DB11" i="15"/>
  <c r="DC11" i="15"/>
  <c r="DD11" i="15"/>
  <c r="DE11" i="15"/>
  <c r="DF11" i="15"/>
  <c r="DG11" i="15"/>
  <c r="DH11" i="15"/>
  <c r="DI11" i="15"/>
  <c r="DJ11" i="15"/>
  <c r="DK11" i="15"/>
  <c r="DL11" i="15"/>
  <c r="DM11" i="15"/>
  <c r="DN11" i="15"/>
  <c r="DO11" i="15"/>
  <c r="DP11" i="15"/>
  <c r="DQ11" i="15"/>
  <c r="DR11" i="15"/>
  <c r="DS11" i="15"/>
  <c r="DT11" i="15"/>
  <c r="DU11" i="15"/>
  <c r="DV11" i="15"/>
  <c r="DW11" i="15"/>
  <c r="DX11" i="15"/>
  <c r="DY11" i="15"/>
  <c r="DZ11" i="15"/>
  <c r="EA11" i="15"/>
  <c r="EB11" i="15"/>
  <c r="EC11" i="15"/>
  <c r="ED11" i="15"/>
  <c r="EE11" i="15"/>
  <c r="EF11" i="15"/>
  <c r="EG11" i="15"/>
  <c r="EH11" i="15"/>
  <c r="EI11" i="15"/>
  <c r="EJ11" i="15"/>
  <c r="EK11" i="15"/>
  <c r="EL11" i="15"/>
  <c r="EM11" i="15"/>
  <c r="EN11" i="15"/>
  <c r="EO11" i="15"/>
  <c r="EP11" i="15"/>
  <c r="EQ11" i="15"/>
  <c r="ER11" i="15"/>
  <c r="ES11" i="15"/>
  <c r="ET11" i="15"/>
  <c r="EU11" i="15"/>
  <c r="EV11" i="15"/>
  <c r="EW11" i="15"/>
  <c r="EX11" i="15"/>
  <c r="EY11" i="15"/>
  <c r="EZ11" i="15"/>
  <c r="FA11" i="15"/>
  <c r="FB11" i="15"/>
  <c r="FC11" i="15"/>
  <c r="FD11" i="15"/>
  <c r="FE11" i="15"/>
  <c r="FF11" i="15"/>
  <c r="FG11" i="15"/>
  <c r="FH11" i="15"/>
  <c r="FI11" i="15"/>
  <c r="FJ11" i="15"/>
  <c r="FK11" i="15"/>
  <c r="FL11" i="15"/>
  <c r="FM11" i="15"/>
  <c r="FN11" i="15"/>
  <c r="FO11" i="15"/>
  <c r="FP11" i="15"/>
  <c r="FQ11" i="15"/>
  <c r="FR11" i="15"/>
  <c r="FS11" i="15"/>
  <c r="FT11" i="15"/>
  <c r="FU11" i="15"/>
  <c r="FV11" i="15"/>
  <c r="FW11" i="15"/>
  <c r="FX11" i="15"/>
  <c r="FY11" i="15"/>
  <c r="FZ11" i="15"/>
  <c r="GA11" i="15"/>
  <c r="GB11" i="15"/>
  <c r="GC11" i="15"/>
  <c r="GD11" i="15"/>
  <c r="GE11" i="15"/>
  <c r="GF11" i="15"/>
  <c r="GG11" i="15"/>
  <c r="GH11" i="15"/>
  <c r="GI11" i="15"/>
  <c r="GJ11" i="15"/>
  <c r="GK11" i="15"/>
  <c r="GL11" i="15"/>
  <c r="GM11" i="15"/>
  <c r="GN11" i="15"/>
  <c r="GO11" i="15"/>
  <c r="GP11" i="15"/>
  <c r="GQ11" i="15"/>
  <c r="GR11" i="15"/>
  <c r="GS11" i="15"/>
  <c r="GT11" i="15"/>
  <c r="GU11" i="15"/>
  <c r="GV11" i="15"/>
  <c r="GW11" i="15"/>
  <c r="GX11" i="15"/>
  <c r="GY11" i="15"/>
  <c r="GZ11" i="15"/>
  <c r="HA11" i="15"/>
  <c r="HB11" i="15"/>
  <c r="HC11" i="15"/>
  <c r="HD11" i="15"/>
  <c r="HE11" i="15"/>
  <c r="HF11" i="15"/>
  <c r="HG11" i="15"/>
  <c r="HH11" i="15"/>
  <c r="HI11" i="15"/>
  <c r="HJ11" i="15"/>
  <c r="HK11" i="15"/>
  <c r="HL11" i="15"/>
  <c r="HM11" i="15"/>
  <c r="HN11" i="15"/>
  <c r="HO11" i="15"/>
  <c r="HP11" i="15"/>
  <c r="HQ11" i="15"/>
  <c r="HR11" i="15"/>
  <c r="HS11" i="15"/>
  <c r="HT11" i="15"/>
  <c r="HU11" i="15"/>
  <c r="HV11" i="15"/>
  <c r="HW11" i="15"/>
  <c r="HX11" i="15"/>
  <c r="HY11" i="15"/>
  <c r="HZ11" i="15"/>
  <c r="IA11" i="15"/>
  <c r="IB11" i="15"/>
  <c r="IC11" i="15"/>
  <c r="ID11" i="15"/>
  <c r="IE11" i="15"/>
  <c r="IF11" i="15"/>
  <c r="IG11" i="15"/>
  <c r="IH11" i="15"/>
  <c r="II11" i="15"/>
  <c r="IJ11" i="15"/>
  <c r="IK11" i="15"/>
  <c r="IL11" i="15"/>
  <c r="IM11" i="15"/>
  <c r="IN11" i="15"/>
  <c r="IO11" i="15"/>
  <c r="IP11" i="15"/>
  <c r="IQ11" i="15"/>
  <c r="IR11" i="15"/>
  <c r="IS11" i="15"/>
  <c r="IT11" i="15"/>
  <c r="IU11" i="15"/>
  <c r="IV11" i="15"/>
  <c r="A12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X12" i="15"/>
  <c r="Y12" i="15"/>
  <c r="Z12" i="15"/>
  <c r="AA12" i="15"/>
  <c r="AB12" i="15"/>
  <c r="AC12" i="15"/>
  <c r="AD12" i="15"/>
  <c r="AE12" i="15"/>
  <c r="AF12" i="15"/>
  <c r="AG12" i="15"/>
  <c r="AH12" i="15"/>
  <c r="AI12" i="15"/>
  <c r="AJ12" i="15"/>
  <c r="AK12" i="15"/>
  <c r="AL12" i="15"/>
  <c r="AM12" i="15"/>
  <c r="AN12" i="15"/>
  <c r="AO12" i="15"/>
  <c r="AP12" i="15"/>
  <c r="AQ12" i="15"/>
  <c r="AR12" i="15"/>
  <c r="AS12" i="15"/>
  <c r="AT12" i="15"/>
  <c r="AU12" i="15"/>
  <c r="AV12" i="15"/>
  <c r="AW12" i="15"/>
  <c r="AX12" i="15"/>
  <c r="AY12" i="15"/>
  <c r="AZ12" i="15"/>
  <c r="BA12" i="15"/>
  <c r="BB12" i="15"/>
  <c r="BC12" i="15"/>
  <c r="BD12" i="15"/>
  <c r="BE12" i="15"/>
  <c r="BF12" i="15"/>
  <c r="BG12" i="15"/>
  <c r="BH12" i="15"/>
  <c r="BI12" i="15"/>
  <c r="BJ12" i="15"/>
  <c r="BK12" i="15"/>
  <c r="BL12" i="15"/>
  <c r="BM12" i="15"/>
  <c r="BN12" i="15"/>
  <c r="BO12" i="15"/>
  <c r="BP12" i="15"/>
  <c r="BQ12" i="15"/>
  <c r="BR12" i="15"/>
  <c r="BS12" i="15"/>
  <c r="BT12" i="15"/>
  <c r="BU12" i="15"/>
  <c r="BV12" i="15"/>
  <c r="BW12" i="15"/>
  <c r="BX12" i="15"/>
  <c r="BY12" i="15"/>
  <c r="BZ12" i="15"/>
  <c r="CA12" i="15"/>
  <c r="CB12" i="15"/>
  <c r="CC12" i="15"/>
  <c r="CD12" i="15"/>
  <c r="CE12" i="15"/>
  <c r="CF12" i="15"/>
  <c r="CG12" i="15"/>
  <c r="CH12" i="15"/>
  <c r="CI12" i="15"/>
  <c r="CJ12" i="15"/>
  <c r="CK12" i="15"/>
  <c r="CL12" i="15"/>
  <c r="CM12" i="15"/>
  <c r="CN12" i="15"/>
  <c r="CO12" i="15"/>
  <c r="CP12" i="15"/>
  <c r="CQ12" i="15"/>
  <c r="CR12" i="15"/>
  <c r="CS12" i="15"/>
  <c r="CT12" i="15"/>
  <c r="CU12" i="15"/>
  <c r="CV12" i="15"/>
  <c r="CW12" i="15"/>
  <c r="CX12" i="15"/>
  <c r="CY12" i="15"/>
  <c r="CZ12" i="15"/>
  <c r="DA12" i="15"/>
  <c r="DB12" i="15"/>
  <c r="DC12" i="15"/>
  <c r="DD12" i="15"/>
  <c r="DE12" i="15"/>
  <c r="DF12" i="15"/>
  <c r="DG12" i="15"/>
  <c r="DH12" i="15"/>
  <c r="DI12" i="15"/>
  <c r="DJ12" i="15"/>
  <c r="DK12" i="15"/>
  <c r="DL12" i="15"/>
  <c r="DM12" i="15"/>
  <c r="DN12" i="15"/>
  <c r="DO12" i="15"/>
  <c r="DP12" i="15"/>
  <c r="DQ12" i="15"/>
  <c r="DR12" i="15"/>
  <c r="DS12" i="15"/>
  <c r="DT12" i="15"/>
  <c r="DU12" i="15"/>
  <c r="DV12" i="15"/>
  <c r="DW12" i="15"/>
  <c r="DX12" i="15"/>
  <c r="DY12" i="15"/>
  <c r="DZ12" i="15"/>
  <c r="EA12" i="15"/>
  <c r="EB12" i="15"/>
  <c r="EC12" i="15"/>
  <c r="ED12" i="15"/>
  <c r="EE12" i="15"/>
  <c r="EF12" i="15"/>
  <c r="EG12" i="15"/>
  <c r="EH12" i="15"/>
  <c r="EI12" i="15"/>
  <c r="EJ12" i="15"/>
  <c r="EK12" i="15"/>
  <c r="EL12" i="15"/>
  <c r="EM12" i="15"/>
  <c r="EN12" i="15"/>
  <c r="EO12" i="15"/>
  <c r="EP12" i="15"/>
  <c r="EQ12" i="15"/>
  <c r="ER12" i="15"/>
  <c r="ES12" i="15"/>
  <c r="ET12" i="15"/>
  <c r="EU12" i="15"/>
  <c r="EV12" i="15"/>
  <c r="EW12" i="15"/>
  <c r="EX12" i="15"/>
  <c r="EY12" i="15"/>
  <c r="EZ12" i="15"/>
  <c r="FA12" i="15"/>
  <c r="FB12" i="15"/>
  <c r="FC12" i="15"/>
  <c r="FD12" i="15"/>
  <c r="FE12" i="15"/>
  <c r="FF12" i="15"/>
  <c r="FG12" i="15"/>
  <c r="FH12" i="15"/>
  <c r="FI12" i="15"/>
  <c r="FJ12" i="15"/>
  <c r="FK12" i="15"/>
  <c r="FL12" i="15"/>
  <c r="FM12" i="15"/>
  <c r="FN12" i="15"/>
  <c r="FO12" i="15"/>
  <c r="FP12" i="15"/>
  <c r="FQ12" i="15"/>
  <c r="FR12" i="15"/>
  <c r="FS12" i="15"/>
  <c r="FT12" i="15"/>
  <c r="FU12" i="15"/>
  <c r="FV12" i="15"/>
  <c r="FW12" i="15"/>
  <c r="FX12" i="15"/>
  <c r="FY12" i="15"/>
  <c r="FZ12" i="15"/>
  <c r="GA12" i="15"/>
  <c r="GB12" i="15"/>
  <c r="GC12" i="15"/>
  <c r="GD12" i="15"/>
  <c r="GE12" i="15"/>
  <c r="GF12" i="15"/>
  <c r="GG12" i="15"/>
  <c r="GH12" i="15"/>
  <c r="GI12" i="15"/>
  <c r="GJ12" i="15"/>
  <c r="GK12" i="15"/>
  <c r="GL12" i="15"/>
  <c r="GM12" i="15"/>
  <c r="GN12" i="15"/>
  <c r="GO12" i="15"/>
  <c r="GP12" i="15"/>
  <c r="GQ12" i="15"/>
  <c r="GR12" i="15"/>
  <c r="GS12" i="15"/>
  <c r="GT12" i="15"/>
  <c r="GU12" i="15"/>
  <c r="GV12" i="15"/>
  <c r="GW12" i="15"/>
  <c r="GX12" i="15"/>
  <c r="GY12" i="15"/>
  <c r="GZ12" i="15"/>
  <c r="HA12" i="15"/>
  <c r="HB12" i="15"/>
  <c r="HC12" i="15"/>
  <c r="HD12" i="15"/>
  <c r="HE12" i="15"/>
  <c r="HF12" i="15"/>
  <c r="HG12" i="15"/>
  <c r="HH12" i="15"/>
  <c r="HI12" i="15"/>
  <c r="HJ12" i="15"/>
  <c r="HK12" i="15"/>
  <c r="HL12" i="15"/>
  <c r="HM12" i="15"/>
  <c r="HN12" i="15"/>
  <c r="HO12" i="15"/>
  <c r="HP12" i="15"/>
  <c r="HQ12" i="15"/>
  <c r="HR12" i="15"/>
  <c r="HS12" i="15"/>
  <c r="HT12" i="15"/>
  <c r="HU12" i="15"/>
  <c r="HV12" i="15"/>
  <c r="HW12" i="15"/>
  <c r="HX12" i="15"/>
  <c r="HY12" i="15"/>
  <c r="HZ12" i="15"/>
  <c r="IA12" i="15"/>
  <c r="IB12" i="15"/>
  <c r="IC12" i="15"/>
  <c r="ID12" i="15"/>
  <c r="IE12" i="15"/>
  <c r="IF12" i="15"/>
  <c r="IG12" i="15"/>
  <c r="IH12" i="15"/>
  <c r="II12" i="15"/>
  <c r="IJ12" i="15"/>
  <c r="IK12" i="15"/>
  <c r="IL12" i="15"/>
  <c r="IM12" i="15"/>
  <c r="IN12" i="15"/>
  <c r="IO12" i="15"/>
  <c r="IP12" i="15"/>
  <c r="IQ12" i="15"/>
  <c r="IR12" i="15"/>
  <c r="IS12" i="15"/>
  <c r="IT12" i="15"/>
  <c r="IU12" i="15"/>
  <c r="IV12" i="15"/>
  <c r="A13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Y13" i="15"/>
  <c r="Z13" i="15"/>
  <c r="AA13" i="15"/>
  <c r="AB13" i="15"/>
  <c r="AC13" i="15"/>
  <c r="AD13" i="15"/>
  <c r="AE13" i="15"/>
  <c r="AF13" i="15"/>
  <c r="AG13" i="15"/>
  <c r="AH13" i="15"/>
  <c r="AI13" i="15"/>
  <c r="AJ13" i="15"/>
  <c r="AK13" i="15"/>
  <c r="AL13" i="15"/>
  <c r="AM13" i="15"/>
  <c r="AN13" i="15"/>
  <c r="AO13" i="15"/>
  <c r="AP13" i="15"/>
  <c r="AQ13" i="15"/>
  <c r="AR13" i="15"/>
  <c r="AS13" i="15"/>
  <c r="AT13" i="15"/>
  <c r="AU13" i="15"/>
  <c r="AV13" i="15"/>
  <c r="AW13" i="15"/>
  <c r="AX13" i="15"/>
  <c r="AY13" i="15"/>
  <c r="AZ13" i="15"/>
  <c r="BA13" i="15"/>
  <c r="BB13" i="15"/>
  <c r="BC13" i="15"/>
  <c r="BD13" i="15"/>
  <c r="BE13" i="15"/>
  <c r="BF13" i="15"/>
  <c r="BG13" i="15"/>
  <c r="BH13" i="15"/>
  <c r="BI13" i="15"/>
  <c r="BJ13" i="15"/>
  <c r="BK13" i="15"/>
  <c r="BL13" i="15"/>
  <c r="BM13" i="15"/>
  <c r="BN13" i="15"/>
  <c r="BO13" i="15"/>
  <c r="BP13" i="15"/>
  <c r="BQ13" i="15"/>
  <c r="BR13" i="15"/>
  <c r="BS13" i="15"/>
  <c r="BT13" i="15"/>
  <c r="BU13" i="15"/>
  <c r="BV13" i="15"/>
  <c r="BW13" i="15"/>
  <c r="BX13" i="15"/>
  <c r="BY13" i="15"/>
  <c r="BZ13" i="15"/>
  <c r="CA13" i="15"/>
  <c r="CB13" i="15"/>
  <c r="CC13" i="15"/>
  <c r="CD13" i="15"/>
  <c r="CE13" i="15"/>
  <c r="CF13" i="15"/>
  <c r="CG13" i="15"/>
  <c r="CH13" i="15"/>
  <c r="CI13" i="15"/>
  <c r="CJ13" i="15"/>
  <c r="CK13" i="15"/>
  <c r="CL13" i="15"/>
  <c r="CM13" i="15"/>
  <c r="CN13" i="15"/>
  <c r="CO13" i="15"/>
  <c r="CP13" i="15"/>
  <c r="CQ13" i="15"/>
  <c r="CR13" i="15"/>
  <c r="CS13" i="15"/>
  <c r="CT13" i="15"/>
  <c r="CU13" i="15"/>
  <c r="CV13" i="15"/>
  <c r="CW13" i="15"/>
  <c r="CX13" i="15"/>
  <c r="CY13" i="15"/>
  <c r="CZ13" i="15"/>
  <c r="DA13" i="15"/>
  <c r="DB13" i="15"/>
  <c r="DC13" i="15"/>
  <c r="DD13" i="15"/>
  <c r="DE13" i="15"/>
  <c r="DF13" i="15"/>
  <c r="DG13" i="15"/>
  <c r="DH13" i="15"/>
  <c r="DI13" i="15"/>
  <c r="DJ13" i="15"/>
  <c r="DK13" i="15"/>
  <c r="DL13" i="15"/>
  <c r="DM13" i="15"/>
  <c r="DN13" i="15"/>
  <c r="DO13" i="15"/>
  <c r="DP13" i="15"/>
  <c r="DQ13" i="15"/>
  <c r="DR13" i="15"/>
  <c r="DS13" i="15"/>
  <c r="DT13" i="15"/>
  <c r="DU13" i="15"/>
  <c r="DV13" i="15"/>
  <c r="DW13" i="15"/>
  <c r="DX13" i="15"/>
  <c r="DY13" i="15"/>
  <c r="DZ13" i="15"/>
  <c r="EA13" i="15"/>
  <c r="EB13" i="15"/>
  <c r="EC13" i="15"/>
  <c r="ED13" i="15"/>
  <c r="EE13" i="15"/>
  <c r="EF13" i="15"/>
  <c r="EG13" i="15"/>
  <c r="EH13" i="15"/>
  <c r="EI13" i="15"/>
  <c r="EJ13" i="15"/>
  <c r="EK13" i="15"/>
  <c r="EL13" i="15"/>
  <c r="EM13" i="15"/>
  <c r="EN13" i="15"/>
  <c r="EO13" i="15"/>
  <c r="EP13" i="15"/>
  <c r="EQ13" i="15"/>
  <c r="ER13" i="15"/>
  <c r="ES13" i="15"/>
  <c r="ET13" i="15"/>
  <c r="EU13" i="15"/>
  <c r="EV13" i="15"/>
  <c r="EW13" i="15"/>
  <c r="EX13" i="15"/>
  <c r="EY13" i="15"/>
  <c r="EZ13" i="15"/>
  <c r="FA13" i="15"/>
  <c r="FB13" i="15"/>
  <c r="FC13" i="15"/>
  <c r="FD13" i="15"/>
  <c r="FE13" i="15"/>
  <c r="FF13" i="15"/>
  <c r="FG13" i="15"/>
  <c r="FH13" i="15"/>
  <c r="FI13" i="15"/>
  <c r="FJ13" i="15"/>
  <c r="FK13" i="15"/>
  <c r="FL13" i="15"/>
  <c r="FM13" i="15"/>
  <c r="FN13" i="15"/>
  <c r="FO13" i="15"/>
  <c r="FP13" i="15"/>
  <c r="FQ13" i="15"/>
  <c r="FR13" i="15"/>
  <c r="FS13" i="15"/>
  <c r="FT13" i="15"/>
  <c r="FU13" i="15"/>
  <c r="FV13" i="15"/>
  <c r="FW13" i="15"/>
  <c r="FX13" i="15"/>
  <c r="FY13" i="15"/>
  <c r="FZ13" i="15"/>
  <c r="GA13" i="15"/>
  <c r="GB13" i="15"/>
  <c r="GC13" i="15"/>
  <c r="GD13" i="15"/>
  <c r="GE13" i="15"/>
  <c r="GF13" i="15"/>
  <c r="GG13" i="15"/>
  <c r="GH13" i="15"/>
  <c r="GI13" i="15"/>
  <c r="GJ13" i="15"/>
  <c r="GK13" i="15"/>
  <c r="GL13" i="15"/>
  <c r="GM13" i="15"/>
  <c r="GN13" i="15"/>
  <c r="GO13" i="15"/>
  <c r="GP13" i="15"/>
  <c r="GQ13" i="15"/>
  <c r="GR13" i="15"/>
  <c r="GS13" i="15"/>
  <c r="GT13" i="15"/>
  <c r="GU13" i="15"/>
  <c r="GV13" i="15"/>
  <c r="GW13" i="15"/>
  <c r="GX13" i="15"/>
  <c r="GY13" i="15"/>
  <c r="GZ13" i="15"/>
  <c r="HA13" i="15"/>
  <c r="HB13" i="15"/>
  <c r="HC13" i="15"/>
  <c r="HD13" i="15"/>
  <c r="HE13" i="15"/>
  <c r="HF13" i="15"/>
  <c r="HG13" i="15"/>
  <c r="HH13" i="15"/>
  <c r="HI13" i="15"/>
  <c r="HJ13" i="15"/>
  <c r="HK13" i="15"/>
  <c r="HL13" i="15"/>
  <c r="HM13" i="15"/>
  <c r="HN13" i="15"/>
  <c r="HO13" i="15"/>
  <c r="HP13" i="15"/>
  <c r="HQ13" i="15"/>
  <c r="HR13" i="15"/>
  <c r="HS13" i="15"/>
  <c r="HT13" i="15"/>
  <c r="HU13" i="15"/>
  <c r="HV13" i="15"/>
  <c r="HW13" i="15"/>
  <c r="HX13" i="15"/>
  <c r="HY13" i="15"/>
  <c r="HZ13" i="15"/>
  <c r="IA13" i="15"/>
  <c r="IB13" i="15"/>
  <c r="IC13" i="15"/>
  <c r="ID13" i="15"/>
  <c r="IE13" i="15"/>
  <c r="IF13" i="15"/>
  <c r="IG13" i="15"/>
  <c r="IH13" i="15"/>
  <c r="II13" i="15"/>
  <c r="IJ13" i="15"/>
  <c r="IK13" i="15"/>
  <c r="IL13" i="15"/>
  <c r="IM13" i="15"/>
  <c r="IN13" i="15"/>
  <c r="IO13" i="15"/>
  <c r="IP13" i="15"/>
  <c r="IQ13" i="15"/>
  <c r="IR13" i="15"/>
  <c r="IS13" i="15"/>
  <c r="IT13" i="15"/>
  <c r="IU13" i="15"/>
  <c r="IV13" i="15"/>
  <c r="A14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W14" i="15"/>
  <c r="X14" i="15"/>
  <c r="Y14" i="15"/>
  <c r="Z14" i="15"/>
  <c r="AA14" i="15"/>
  <c r="AB14" i="15"/>
  <c r="AC14" i="15"/>
  <c r="AD14" i="15"/>
  <c r="AE14" i="15"/>
  <c r="AF14" i="15"/>
  <c r="AG14" i="15"/>
  <c r="AH14" i="15"/>
  <c r="AI14" i="15"/>
  <c r="AJ14" i="15"/>
  <c r="AK14" i="15"/>
  <c r="AL14" i="15"/>
  <c r="AM14" i="15"/>
  <c r="AN14" i="15"/>
  <c r="AO14" i="15"/>
  <c r="AP14" i="15"/>
  <c r="AQ14" i="15"/>
  <c r="AR14" i="15"/>
  <c r="AS14" i="15"/>
  <c r="AT14" i="15"/>
  <c r="AU14" i="15"/>
  <c r="AV14" i="15"/>
  <c r="AW14" i="15"/>
  <c r="AX14" i="15"/>
  <c r="AY14" i="15"/>
  <c r="AZ14" i="15"/>
  <c r="BA14" i="15"/>
  <c r="BB14" i="15"/>
  <c r="BC14" i="15"/>
  <c r="BD14" i="15"/>
  <c r="BE14" i="15"/>
  <c r="BF14" i="15"/>
  <c r="BG14" i="15"/>
  <c r="BH14" i="15"/>
  <c r="BI14" i="15"/>
  <c r="BJ14" i="15"/>
  <c r="BK14" i="15"/>
  <c r="BL14" i="15"/>
  <c r="BM14" i="15"/>
  <c r="BN14" i="15"/>
  <c r="BO14" i="15"/>
  <c r="BP14" i="15"/>
  <c r="BQ14" i="15"/>
  <c r="BR14" i="15"/>
  <c r="BS14" i="15"/>
  <c r="BT14" i="15"/>
  <c r="BU14" i="15"/>
  <c r="BV14" i="15"/>
  <c r="BW14" i="15"/>
  <c r="BX14" i="15"/>
  <c r="BY14" i="15"/>
  <c r="BZ14" i="15"/>
  <c r="CA14" i="15"/>
  <c r="CB14" i="15"/>
  <c r="CC14" i="15"/>
  <c r="CD14" i="15"/>
  <c r="CE14" i="15"/>
  <c r="CF14" i="15"/>
  <c r="CG14" i="15"/>
  <c r="CH14" i="15"/>
  <c r="CI14" i="15"/>
  <c r="CJ14" i="15"/>
  <c r="CK14" i="15"/>
  <c r="CL14" i="15"/>
  <c r="CM14" i="15"/>
  <c r="CN14" i="15"/>
  <c r="CO14" i="15"/>
  <c r="CP14" i="15"/>
  <c r="CQ14" i="15"/>
  <c r="CR14" i="15"/>
  <c r="CS14" i="15"/>
  <c r="CT14" i="15"/>
  <c r="CU14" i="15"/>
  <c r="CV14" i="15"/>
  <c r="CW14" i="15"/>
  <c r="CX14" i="15"/>
  <c r="CY14" i="15"/>
  <c r="CZ14" i="15"/>
  <c r="DA14" i="15"/>
  <c r="DB14" i="15"/>
  <c r="DC14" i="15"/>
  <c r="DD14" i="15"/>
  <c r="DE14" i="15"/>
  <c r="DF14" i="15"/>
  <c r="DG14" i="15"/>
  <c r="DH14" i="15"/>
  <c r="DI14" i="15"/>
  <c r="DJ14" i="15"/>
  <c r="DK14" i="15"/>
  <c r="DL14" i="15"/>
  <c r="DM14" i="15"/>
  <c r="DN14" i="15"/>
  <c r="DO14" i="15"/>
  <c r="DP14" i="15"/>
  <c r="DQ14" i="15"/>
  <c r="DR14" i="15"/>
  <c r="DS14" i="15"/>
  <c r="DT14" i="15"/>
  <c r="DU14" i="15"/>
  <c r="DV14" i="15"/>
  <c r="DW14" i="15"/>
  <c r="DX14" i="15"/>
  <c r="DY14" i="15"/>
  <c r="DZ14" i="15"/>
  <c r="EA14" i="15"/>
  <c r="EB14" i="15"/>
  <c r="EC14" i="15"/>
  <c r="ED14" i="15"/>
  <c r="EE14" i="15"/>
  <c r="EF14" i="15"/>
  <c r="EG14" i="15"/>
  <c r="EH14" i="15"/>
  <c r="EI14" i="15"/>
  <c r="EJ14" i="15"/>
  <c r="EK14" i="15"/>
  <c r="EL14" i="15"/>
  <c r="EM14" i="15"/>
  <c r="EN14" i="15"/>
  <c r="EO14" i="15"/>
  <c r="EP14" i="15"/>
  <c r="EQ14" i="15"/>
  <c r="ER14" i="15"/>
  <c r="ES14" i="15"/>
  <c r="ET14" i="15"/>
  <c r="EU14" i="15"/>
  <c r="EV14" i="15"/>
  <c r="EW14" i="15"/>
  <c r="EX14" i="15"/>
  <c r="EY14" i="15"/>
  <c r="EZ14" i="15"/>
  <c r="FA14" i="15"/>
  <c r="FB14" i="15"/>
  <c r="FC14" i="15"/>
  <c r="FD14" i="15"/>
  <c r="FE14" i="15"/>
  <c r="FF14" i="15"/>
  <c r="FG14" i="15"/>
  <c r="FH14" i="15"/>
  <c r="FI14" i="15"/>
  <c r="FJ14" i="15"/>
  <c r="FK14" i="15"/>
  <c r="FL14" i="15"/>
  <c r="FM14" i="15"/>
  <c r="FN14" i="15"/>
  <c r="FO14" i="15"/>
  <c r="FP14" i="15"/>
  <c r="FQ14" i="15"/>
  <c r="FR14" i="15"/>
  <c r="FS14" i="15"/>
  <c r="FT14" i="15"/>
  <c r="FU14" i="15"/>
  <c r="FV14" i="15"/>
  <c r="FW14" i="15"/>
  <c r="FX14" i="15"/>
  <c r="FY14" i="15"/>
  <c r="FZ14" i="15"/>
  <c r="GA14" i="15"/>
  <c r="GB14" i="15"/>
  <c r="GC14" i="15"/>
  <c r="GD14" i="15"/>
  <c r="GE14" i="15"/>
  <c r="GF14" i="15"/>
  <c r="GG14" i="15"/>
  <c r="GH14" i="15"/>
  <c r="GI14" i="15"/>
  <c r="GJ14" i="15"/>
  <c r="GK14" i="15"/>
  <c r="GL14" i="15"/>
  <c r="GM14" i="15"/>
  <c r="GN14" i="15"/>
  <c r="GO14" i="15"/>
  <c r="GP14" i="15"/>
  <c r="GQ14" i="15"/>
  <c r="GR14" i="15"/>
  <c r="GS14" i="15"/>
  <c r="GT14" i="15"/>
  <c r="GU14" i="15"/>
  <c r="GV14" i="15"/>
  <c r="GW14" i="15"/>
  <c r="GX14" i="15"/>
  <c r="GY14" i="15"/>
  <c r="GZ14" i="15"/>
  <c r="HA14" i="15"/>
  <c r="HB14" i="15"/>
  <c r="HC14" i="15"/>
  <c r="HD14" i="15"/>
  <c r="HE14" i="15"/>
  <c r="HF14" i="15"/>
  <c r="HG14" i="15"/>
  <c r="HH14" i="15"/>
  <c r="HI14" i="15"/>
  <c r="HJ14" i="15"/>
  <c r="HK14" i="15"/>
  <c r="HL14" i="15"/>
  <c r="HM14" i="15"/>
  <c r="HN14" i="15"/>
  <c r="HO14" i="15"/>
  <c r="HP14" i="15"/>
  <c r="HQ14" i="15"/>
  <c r="HR14" i="15"/>
  <c r="HS14" i="15"/>
  <c r="HT14" i="15"/>
  <c r="HU14" i="15"/>
  <c r="HV14" i="15"/>
  <c r="HW14" i="15"/>
  <c r="HX14" i="15"/>
  <c r="HY14" i="15"/>
  <c r="HZ14" i="15"/>
  <c r="IA14" i="15"/>
  <c r="IB14" i="15"/>
  <c r="IC14" i="15"/>
  <c r="ID14" i="15"/>
  <c r="IE14" i="15"/>
  <c r="IF14" i="15"/>
  <c r="IG14" i="15"/>
  <c r="IH14" i="15"/>
  <c r="II14" i="15"/>
  <c r="IJ14" i="15"/>
  <c r="IK14" i="15"/>
  <c r="IL14" i="15"/>
  <c r="IM14" i="15"/>
  <c r="IN14" i="15"/>
  <c r="IO14" i="15"/>
  <c r="IP14" i="15"/>
  <c r="IQ14" i="15"/>
  <c r="IR14" i="15"/>
  <c r="IS14" i="15"/>
  <c r="IT14" i="15"/>
  <c r="IU14" i="15"/>
  <c r="IV14" i="15"/>
  <c r="A15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AB15" i="15"/>
  <c r="AC15" i="15"/>
  <c r="AD15" i="15"/>
  <c r="AE15" i="15"/>
  <c r="AF15" i="15"/>
  <c r="AG15" i="15"/>
  <c r="AH15" i="15"/>
  <c r="AI15" i="15"/>
  <c r="AJ15" i="15"/>
  <c r="AK15" i="15"/>
  <c r="AL15" i="15"/>
  <c r="AM15" i="15"/>
  <c r="AN15" i="15"/>
  <c r="AO15" i="15"/>
  <c r="AP15" i="15"/>
  <c r="AQ15" i="15"/>
  <c r="AR15" i="15"/>
  <c r="AS15" i="15"/>
  <c r="AT15" i="15"/>
  <c r="AU15" i="15"/>
  <c r="AV15" i="15"/>
  <c r="AW15" i="15"/>
  <c r="AX15" i="15"/>
  <c r="AY15" i="15"/>
  <c r="AZ15" i="15"/>
  <c r="BA15" i="15"/>
  <c r="BB15" i="15"/>
  <c r="BC15" i="15"/>
  <c r="BD15" i="15"/>
  <c r="BE15" i="15"/>
  <c r="BF15" i="15"/>
  <c r="BG15" i="15"/>
  <c r="BH15" i="15"/>
  <c r="BI15" i="15"/>
  <c r="BJ15" i="15"/>
  <c r="BK15" i="15"/>
  <c r="BL15" i="15"/>
  <c r="BM15" i="15"/>
  <c r="BN15" i="15"/>
  <c r="BO15" i="15"/>
  <c r="BP15" i="15"/>
  <c r="BQ15" i="15"/>
  <c r="BR15" i="15"/>
  <c r="BS15" i="15"/>
  <c r="BT15" i="15"/>
  <c r="BU15" i="15"/>
  <c r="BV15" i="15"/>
  <c r="BW15" i="15"/>
  <c r="BX15" i="15"/>
  <c r="BY15" i="15"/>
  <c r="BZ15" i="15"/>
  <c r="CA15" i="15"/>
  <c r="CB15" i="15"/>
  <c r="CC15" i="15"/>
  <c r="CD15" i="15"/>
  <c r="CE15" i="15"/>
  <c r="CF15" i="15"/>
  <c r="CG15" i="15"/>
  <c r="CH15" i="15"/>
  <c r="CI15" i="15"/>
  <c r="CJ15" i="15"/>
  <c r="CK15" i="15"/>
  <c r="CL15" i="15"/>
  <c r="CM15" i="15"/>
  <c r="CN15" i="15"/>
  <c r="CO15" i="15"/>
  <c r="CP15" i="15"/>
  <c r="CQ15" i="15"/>
  <c r="CR15" i="15"/>
  <c r="CS15" i="15"/>
  <c r="CT15" i="15"/>
  <c r="CU15" i="15"/>
  <c r="CV15" i="15"/>
  <c r="CW15" i="15"/>
  <c r="CX15" i="15"/>
  <c r="CY15" i="15"/>
  <c r="CZ15" i="15"/>
  <c r="DA15" i="15"/>
  <c r="DB15" i="15"/>
  <c r="DC15" i="15"/>
  <c r="DD15" i="15"/>
  <c r="DE15" i="15"/>
  <c r="DF15" i="15"/>
  <c r="DG15" i="15"/>
  <c r="DH15" i="15"/>
  <c r="DI15" i="15"/>
  <c r="DJ15" i="15"/>
  <c r="DK15" i="15"/>
  <c r="DL15" i="15"/>
  <c r="DM15" i="15"/>
  <c r="DN15" i="15"/>
  <c r="DO15" i="15"/>
  <c r="DP15" i="15"/>
  <c r="DQ15" i="15"/>
  <c r="DR15" i="15"/>
  <c r="DS15" i="15"/>
  <c r="DT15" i="15"/>
  <c r="DU15" i="15"/>
  <c r="DV15" i="15"/>
  <c r="DW15" i="15"/>
  <c r="DX15" i="15"/>
  <c r="DY15" i="15"/>
  <c r="DZ15" i="15"/>
  <c r="EA15" i="15"/>
  <c r="EB15" i="15"/>
  <c r="EC15" i="15"/>
  <c r="ED15" i="15"/>
  <c r="EE15" i="15"/>
  <c r="EF15" i="15"/>
  <c r="EG15" i="15"/>
  <c r="EH15" i="15"/>
  <c r="EI15" i="15"/>
  <c r="EJ15" i="15"/>
  <c r="EK15" i="15"/>
  <c r="EL15" i="15"/>
  <c r="EM15" i="15"/>
  <c r="EN15" i="15"/>
  <c r="EO15" i="15"/>
  <c r="EP15" i="15"/>
  <c r="EQ15" i="15"/>
  <c r="ER15" i="15"/>
  <c r="ES15" i="15"/>
  <c r="ET15" i="15"/>
  <c r="EU15" i="15"/>
  <c r="EV15" i="15"/>
  <c r="EW15" i="15"/>
  <c r="EX15" i="15"/>
  <c r="EY15" i="15"/>
  <c r="EZ15" i="15"/>
  <c r="FA15" i="15"/>
  <c r="FB15" i="15"/>
  <c r="FC15" i="15"/>
  <c r="FD15" i="15"/>
  <c r="FE15" i="15"/>
  <c r="FF15" i="15"/>
  <c r="FG15" i="15"/>
  <c r="FH15" i="15"/>
  <c r="FI15" i="15"/>
  <c r="FJ15" i="15"/>
  <c r="FK15" i="15"/>
  <c r="FL15" i="15"/>
  <c r="FM15" i="15"/>
  <c r="FN15" i="15"/>
  <c r="FO15" i="15"/>
  <c r="FP15" i="15"/>
  <c r="FQ15" i="15"/>
  <c r="FR15" i="15"/>
  <c r="FS15" i="15"/>
  <c r="FT15" i="15"/>
  <c r="FU15" i="15"/>
  <c r="FV15" i="15"/>
  <c r="FW15" i="15"/>
  <c r="FX15" i="15"/>
  <c r="FY15" i="15"/>
  <c r="FZ15" i="15"/>
  <c r="GA15" i="15"/>
  <c r="GB15" i="15"/>
  <c r="GC15" i="15"/>
  <c r="GD15" i="15"/>
  <c r="GE15" i="15"/>
  <c r="GF15" i="15"/>
  <c r="GG15" i="15"/>
  <c r="GH15" i="15"/>
  <c r="GI15" i="15"/>
  <c r="GJ15" i="15"/>
  <c r="GK15" i="15"/>
  <c r="GL15" i="15"/>
  <c r="GM15" i="15"/>
  <c r="GN15" i="15"/>
  <c r="GO15" i="15"/>
  <c r="GP15" i="15"/>
  <c r="GQ15" i="15"/>
  <c r="GR15" i="15"/>
  <c r="GS15" i="15"/>
  <c r="GT15" i="15"/>
  <c r="GU15" i="15"/>
  <c r="GV15" i="15"/>
  <c r="GW15" i="15"/>
  <c r="GX15" i="15"/>
  <c r="GY15" i="15"/>
  <c r="GZ15" i="15"/>
  <c r="HA15" i="15"/>
  <c r="HB15" i="15"/>
  <c r="HC15" i="15"/>
  <c r="HD15" i="15"/>
  <c r="HE15" i="15"/>
  <c r="HF15" i="15"/>
  <c r="HG15" i="15"/>
  <c r="HH15" i="15"/>
  <c r="HI15" i="15"/>
  <c r="HJ15" i="15"/>
  <c r="HK15" i="15"/>
  <c r="HL15" i="15"/>
  <c r="HM15" i="15"/>
  <c r="HN15" i="15"/>
  <c r="HO15" i="15"/>
  <c r="HP15" i="15"/>
  <c r="HQ15" i="15"/>
  <c r="HR15" i="15"/>
  <c r="HS15" i="15"/>
  <c r="HT15" i="15"/>
  <c r="HU15" i="15"/>
  <c r="HV15" i="15"/>
  <c r="HW15" i="15"/>
  <c r="HX15" i="15"/>
  <c r="HY15" i="15"/>
  <c r="HZ15" i="15"/>
  <c r="IA15" i="15"/>
  <c r="IB15" i="15"/>
  <c r="IC15" i="15"/>
  <c r="ID15" i="15"/>
  <c r="IE15" i="15"/>
  <c r="IF15" i="15"/>
  <c r="IG15" i="15"/>
  <c r="IH15" i="15"/>
  <c r="II15" i="15"/>
  <c r="IJ15" i="15"/>
  <c r="IK15" i="15"/>
  <c r="IL15" i="15"/>
  <c r="IM15" i="15"/>
  <c r="IN15" i="15"/>
  <c r="IO15" i="15"/>
  <c r="IP15" i="15"/>
  <c r="IQ15" i="15"/>
  <c r="IR15" i="15"/>
  <c r="IS15" i="15"/>
  <c r="IT15" i="15"/>
  <c r="IU15" i="15"/>
  <c r="IV15" i="15"/>
  <c r="A16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X16" i="15"/>
  <c r="Y16" i="15"/>
  <c r="Z16" i="15"/>
  <c r="AA16" i="15"/>
  <c r="AB16" i="15"/>
  <c r="AC16" i="15"/>
  <c r="AD16" i="15"/>
  <c r="AE16" i="15"/>
  <c r="AF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AS16" i="15"/>
  <c r="AT16" i="15"/>
  <c r="AU16" i="15"/>
  <c r="AV16" i="15"/>
  <c r="AW16" i="15"/>
  <c r="AX16" i="15"/>
  <c r="AY16" i="15"/>
  <c r="AZ16" i="15"/>
  <c r="BA16" i="15"/>
  <c r="BB16" i="15"/>
  <c r="BC16" i="15"/>
  <c r="BD16" i="15"/>
  <c r="BE16" i="15"/>
  <c r="BF16" i="15"/>
  <c r="BG16" i="15"/>
  <c r="BH16" i="15"/>
  <c r="BI16" i="15"/>
  <c r="BJ16" i="15"/>
  <c r="BK16" i="15"/>
  <c r="BL16" i="15"/>
  <c r="BM16" i="15"/>
  <c r="BN16" i="15"/>
  <c r="BO16" i="15"/>
  <c r="BP16" i="15"/>
  <c r="BQ16" i="15"/>
  <c r="BR16" i="15"/>
  <c r="BS16" i="15"/>
  <c r="BT16" i="15"/>
  <c r="BU16" i="15"/>
  <c r="BV16" i="15"/>
  <c r="BW16" i="15"/>
  <c r="BX16" i="15"/>
  <c r="BY16" i="15"/>
  <c r="BZ16" i="15"/>
  <c r="CA16" i="15"/>
  <c r="CB16" i="15"/>
  <c r="CC16" i="15"/>
  <c r="CD16" i="15"/>
  <c r="CE16" i="15"/>
  <c r="CF16" i="15"/>
  <c r="CG16" i="15"/>
  <c r="CH16" i="15"/>
  <c r="CI16" i="15"/>
  <c r="CJ16" i="15"/>
  <c r="CK16" i="15"/>
  <c r="CL16" i="15"/>
  <c r="CM16" i="15"/>
  <c r="CN16" i="15"/>
  <c r="CO16" i="15"/>
  <c r="CP16" i="15"/>
  <c r="CQ16" i="15"/>
  <c r="CR16" i="15"/>
  <c r="CS16" i="15"/>
  <c r="CT16" i="15"/>
  <c r="CU16" i="15"/>
  <c r="CV16" i="15"/>
  <c r="CW16" i="15"/>
  <c r="CX16" i="15"/>
  <c r="CY16" i="15"/>
  <c r="CZ16" i="15"/>
  <c r="DA16" i="15"/>
  <c r="DB16" i="15"/>
  <c r="DC16" i="15"/>
  <c r="DD16" i="15"/>
  <c r="DE16" i="15"/>
  <c r="DF16" i="15"/>
  <c r="DG16" i="15"/>
  <c r="DH16" i="15"/>
  <c r="DI16" i="15"/>
  <c r="DJ16" i="15"/>
  <c r="DK16" i="15"/>
  <c r="DL16" i="15"/>
  <c r="DM16" i="15"/>
  <c r="DN16" i="15"/>
  <c r="DO16" i="15"/>
  <c r="DP16" i="15"/>
  <c r="DQ16" i="15"/>
  <c r="DR16" i="15"/>
  <c r="DS16" i="15"/>
  <c r="DT16" i="15"/>
  <c r="DU16" i="15"/>
  <c r="DV16" i="15"/>
  <c r="DW16" i="15"/>
  <c r="DX16" i="15"/>
  <c r="DY16" i="15"/>
  <c r="DZ16" i="15"/>
  <c r="EA16" i="15"/>
  <c r="EB16" i="15"/>
  <c r="EC16" i="15"/>
  <c r="ED16" i="15"/>
  <c r="EE16" i="15"/>
  <c r="EF16" i="15"/>
  <c r="EG16" i="15"/>
  <c r="EH16" i="15"/>
  <c r="EI16" i="15"/>
  <c r="EJ16" i="15"/>
  <c r="EK16" i="15"/>
  <c r="EL16" i="15"/>
  <c r="EM16" i="15"/>
  <c r="EN16" i="15"/>
  <c r="EO16" i="15"/>
  <c r="EP16" i="15"/>
  <c r="EQ16" i="15"/>
  <c r="ER16" i="15"/>
  <c r="ES16" i="15"/>
  <c r="ET16" i="15"/>
  <c r="EU16" i="15"/>
  <c r="EV16" i="15"/>
  <c r="EW16" i="15"/>
  <c r="EX16" i="15"/>
  <c r="EY16" i="15"/>
  <c r="EZ16" i="15"/>
  <c r="FA16" i="15"/>
  <c r="FB16" i="15"/>
  <c r="FC16" i="15"/>
  <c r="FD16" i="15"/>
  <c r="FE16" i="15"/>
  <c r="FF16" i="15"/>
  <c r="FG16" i="15"/>
  <c r="FH16" i="15"/>
  <c r="FI16" i="15"/>
  <c r="FJ16" i="15"/>
  <c r="FK16" i="15"/>
  <c r="FL16" i="15"/>
  <c r="FM16" i="15"/>
  <c r="FN16" i="15"/>
  <c r="FO16" i="15"/>
  <c r="FP16" i="15"/>
  <c r="FQ16" i="15"/>
  <c r="FR16" i="15"/>
  <c r="FS16" i="15"/>
  <c r="FT16" i="15"/>
  <c r="FU16" i="15"/>
  <c r="FV16" i="15"/>
  <c r="FW16" i="15"/>
  <c r="FX16" i="15"/>
  <c r="FY16" i="15"/>
  <c r="FZ16" i="15"/>
  <c r="GA16" i="15"/>
  <c r="GB16" i="15"/>
  <c r="GC16" i="15"/>
  <c r="GD16" i="15"/>
  <c r="GE16" i="15"/>
  <c r="GF16" i="15"/>
  <c r="GG16" i="15"/>
  <c r="GH16" i="15"/>
  <c r="GI16" i="15"/>
  <c r="GJ16" i="15"/>
  <c r="GK16" i="15"/>
  <c r="GL16" i="15"/>
  <c r="GM16" i="15"/>
  <c r="GN16" i="15"/>
  <c r="GO16" i="15"/>
  <c r="GP16" i="15"/>
  <c r="GQ16" i="15"/>
  <c r="GR16" i="15"/>
  <c r="GS16" i="15"/>
  <c r="GT16" i="15"/>
  <c r="GU16" i="15"/>
  <c r="GV16" i="15"/>
  <c r="GW16" i="15"/>
  <c r="GX16" i="15"/>
  <c r="GY16" i="15"/>
  <c r="GZ16" i="15"/>
  <c r="HA16" i="15"/>
  <c r="HB16" i="15"/>
  <c r="HC16" i="15"/>
  <c r="HD16" i="15"/>
  <c r="HE16" i="15"/>
  <c r="HF16" i="15"/>
  <c r="HG16" i="15"/>
  <c r="HH16" i="15"/>
  <c r="HI16" i="15"/>
  <c r="HJ16" i="15"/>
  <c r="HK16" i="15"/>
  <c r="HL16" i="15"/>
  <c r="HM16" i="15"/>
  <c r="HN16" i="15"/>
  <c r="HO16" i="15"/>
  <c r="HP16" i="15"/>
  <c r="HQ16" i="15"/>
  <c r="HR16" i="15"/>
  <c r="HS16" i="15"/>
  <c r="HT16" i="15"/>
  <c r="HU16" i="15"/>
  <c r="HV16" i="15"/>
  <c r="HW16" i="15"/>
  <c r="HX16" i="15"/>
  <c r="HY16" i="15"/>
  <c r="HZ16" i="15"/>
  <c r="IA16" i="15"/>
  <c r="IB16" i="15"/>
  <c r="IC16" i="15"/>
  <c r="ID16" i="15"/>
  <c r="IE16" i="15"/>
  <c r="IF16" i="15"/>
  <c r="IG16" i="15"/>
  <c r="IH16" i="15"/>
  <c r="II16" i="15"/>
  <c r="IJ16" i="15"/>
  <c r="IK16" i="15"/>
  <c r="IL16" i="15"/>
  <c r="IM16" i="15"/>
  <c r="IN16" i="15"/>
  <c r="IO16" i="15"/>
  <c r="IP16" i="15"/>
  <c r="IQ16" i="15"/>
  <c r="IR16" i="15"/>
  <c r="IS16" i="15"/>
  <c r="IT16" i="15"/>
  <c r="IU16" i="15"/>
  <c r="IV16" i="15"/>
  <c r="A17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Z17" i="15"/>
  <c r="AA17" i="15"/>
  <c r="AB17" i="15"/>
  <c r="AC17" i="15"/>
  <c r="AD17" i="15"/>
  <c r="AE17" i="15"/>
  <c r="AF17" i="15"/>
  <c r="AG17" i="15"/>
  <c r="AH17" i="15"/>
  <c r="AI17" i="15"/>
  <c r="AJ17" i="15"/>
  <c r="AK17" i="15"/>
  <c r="AL17" i="15"/>
  <c r="AM17" i="15"/>
  <c r="AN17" i="15"/>
  <c r="AO17" i="15"/>
  <c r="AP17" i="15"/>
  <c r="AQ17" i="15"/>
  <c r="AR17" i="15"/>
  <c r="AS17" i="15"/>
  <c r="AT17" i="15"/>
  <c r="AU17" i="15"/>
  <c r="AV17" i="15"/>
  <c r="AW17" i="15"/>
  <c r="AX17" i="15"/>
  <c r="AY17" i="15"/>
  <c r="AZ17" i="15"/>
  <c r="BA17" i="15"/>
  <c r="BB17" i="15"/>
  <c r="BC17" i="15"/>
  <c r="BD17" i="15"/>
  <c r="BE17" i="15"/>
  <c r="BF17" i="15"/>
  <c r="BG17" i="15"/>
  <c r="BH17" i="15"/>
  <c r="BI17" i="15"/>
  <c r="BJ17" i="15"/>
  <c r="BK17" i="15"/>
  <c r="BL17" i="15"/>
  <c r="BM17" i="15"/>
  <c r="BN17" i="15"/>
  <c r="BO17" i="15"/>
  <c r="BP17" i="15"/>
  <c r="BQ17" i="15"/>
  <c r="BR17" i="15"/>
  <c r="BS17" i="15"/>
  <c r="BT17" i="15"/>
  <c r="BU17" i="15"/>
  <c r="BV17" i="15"/>
  <c r="BW17" i="15"/>
  <c r="BX17" i="15"/>
  <c r="BY17" i="15"/>
  <c r="BZ17" i="15"/>
  <c r="CA17" i="15"/>
  <c r="CB17" i="15"/>
  <c r="CC17" i="15"/>
  <c r="CD17" i="15"/>
  <c r="CE17" i="15"/>
  <c r="CF17" i="15"/>
  <c r="CG17" i="15"/>
  <c r="CH17" i="15"/>
  <c r="CI17" i="15"/>
  <c r="CJ17" i="15"/>
  <c r="CK17" i="15"/>
  <c r="CL17" i="15"/>
  <c r="CM17" i="15"/>
  <c r="CN17" i="15"/>
  <c r="CO17" i="15"/>
  <c r="CP17" i="15"/>
  <c r="CQ17" i="15"/>
  <c r="CR17" i="15"/>
  <c r="CS17" i="15"/>
  <c r="CT17" i="15"/>
  <c r="CU17" i="15"/>
  <c r="CV17" i="15"/>
  <c r="CW17" i="15"/>
  <c r="CX17" i="15"/>
  <c r="CY17" i="15"/>
  <c r="CZ17" i="15"/>
  <c r="DA17" i="15"/>
  <c r="DB17" i="15"/>
  <c r="DC17" i="15"/>
  <c r="DD17" i="15"/>
  <c r="DE17" i="15"/>
  <c r="DF17" i="15"/>
  <c r="DG17" i="15"/>
  <c r="DH17" i="15"/>
  <c r="DI17" i="15"/>
  <c r="DJ17" i="15"/>
  <c r="DK17" i="15"/>
  <c r="DL17" i="15"/>
  <c r="DM17" i="15"/>
  <c r="DN17" i="15"/>
  <c r="DO17" i="15"/>
  <c r="DP17" i="15"/>
  <c r="DQ17" i="15"/>
  <c r="DR17" i="15"/>
  <c r="DS17" i="15"/>
  <c r="DT17" i="15"/>
  <c r="DU17" i="15"/>
  <c r="DV17" i="15"/>
  <c r="DW17" i="15"/>
  <c r="DX17" i="15"/>
  <c r="DY17" i="15"/>
  <c r="DZ17" i="15"/>
  <c r="EA17" i="15"/>
  <c r="EB17" i="15"/>
  <c r="EC17" i="15"/>
  <c r="ED17" i="15"/>
  <c r="EE17" i="15"/>
  <c r="EF17" i="15"/>
  <c r="EG17" i="15"/>
  <c r="EH17" i="15"/>
  <c r="EI17" i="15"/>
  <c r="EJ17" i="15"/>
  <c r="EK17" i="15"/>
  <c r="EL17" i="15"/>
  <c r="EM17" i="15"/>
  <c r="EN17" i="15"/>
  <c r="EO17" i="15"/>
  <c r="EP17" i="15"/>
  <c r="EQ17" i="15"/>
  <c r="ER17" i="15"/>
  <c r="ES17" i="15"/>
  <c r="ET17" i="15"/>
  <c r="EU17" i="15"/>
  <c r="EV17" i="15"/>
  <c r="EW17" i="15"/>
  <c r="EX17" i="15"/>
  <c r="EY17" i="15"/>
  <c r="EZ17" i="15"/>
  <c r="FA17" i="15"/>
  <c r="FB17" i="15"/>
  <c r="FC17" i="15"/>
  <c r="FD17" i="15"/>
  <c r="FE17" i="15"/>
  <c r="FF17" i="15"/>
  <c r="FG17" i="15"/>
  <c r="FH17" i="15"/>
  <c r="FI17" i="15"/>
  <c r="FJ17" i="15"/>
  <c r="FK17" i="15"/>
  <c r="FL17" i="15"/>
  <c r="FM17" i="15"/>
  <c r="FN17" i="15"/>
  <c r="FO17" i="15"/>
  <c r="FP17" i="15"/>
  <c r="FQ17" i="15"/>
  <c r="FR17" i="15"/>
  <c r="FS17" i="15"/>
  <c r="FT17" i="15"/>
  <c r="FU17" i="15"/>
  <c r="FV17" i="15"/>
  <c r="FW17" i="15"/>
  <c r="FX17" i="15"/>
  <c r="FY17" i="15"/>
  <c r="FZ17" i="15"/>
  <c r="GA17" i="15"/>
  <c r="GB17" i="15"/>
  <c r="GC17" i="15"/>
  <c r="GD17" i="15"/>
  <c r="GE17" i="15"/>
  <c r="GF17" i="15"/>
  <c r="GG17" i="15"/>
  <c r="GH17" i="15"/>
  <c r="GI17" i="15"/>
  <c r="GJ17" i="15"/>
  <c r="GK17" i="15"/>
  <c r="GL17" i="15"/>
  <c r="GM17" i="15"/>
  <c r="GN17" i="15"/>
  <c r="GO17" i="15"/>
  <c r="GP17" i="15"/>
  <c r="GQ17" i="15"/>
  <c r="GR17" i="15"/>
  <c r="GT17" i="15"/>
  <c r="GW17" i="15"/>
  <c r="GX17" i="15"/>
  <c r="GY17" i="15"/>
  <c r="GZ17" i="15"/>
  <c r="HA17" i="15"/>
  <c r="HB17" i="15"/>
  <c r="HC17" i="15"/>
  <c r="HD17" i="15"/>
  <c r="HE17" i="15"/>
  <c r="HF17" i="15"/>
  <c r="HG17" i="15"/>
  <c r="HH17" i="15"/>
  <c r="HI17" i="15"/>
  <c r="HJ17" i="15"/>
  <c r="HK17" i="15"/>
  <c r="HL17" i="15"/>
  <c r="HM17" i="15"/>
  <c r="HN17" i="15"/>
  <c r="HO17" i="15"/>
  <c r="HP17" i="15"/>
  <c r="HQ17" i="15"/>
  <c r="HR17" i="15"/>
  <c r="HS17" i="15"/>
  <c r="HT17" i="15"/>
  <c r="HU17" i="15"/>
  <c r="HV17" i="15"/>
  <c r="HW17" i="15"/>
  <c r="HX17" i="15"/>
  <c r="HY17" i="15"/>
  <c r="HZ17" i="15"/>
  <c r="IA17" i="15"/>
  <c r="IB17" i="15"/>
  <c r="IC17" i="15"/>
  <c r="ID17" i="15"/>
  <c r="IE17" i="15"/>
  <c r="IF17" i="15"/>
  <c r="IG17" i="15"/>
  <c r="IH17" i="15"/>
  <c r="II17" i="15"/>
  <c r="IJ17" i="15"/>
  <c r="IK17" i="15"/>
  <c r="IL17" i="15"/>
  <c r="IM17" i="15"/>
  <c r="IN17" i="15"/>
  <c r="IO17" i="15"/>
  <c r="IP17" i="15"/>
  <c r="IQ17" i="15"/>
  <c r="IR17" i="15"/>
  <c r="IS17" i="15"/>
  <c r="IT17" i="15"/>
  <c r="IU17" i="15"/>
  <c r="IV17" i="15"/>
  <c r="A18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X18" i="15"/>
  <c r="Y18" i="15"/>
  <c r="Z18" i="15"/>
  <c r="AA18" i="15"/>
  <c r="AB18" i="15"/>
  <c r="AC18" i="15"/>
  <c r="AD18" i="15"/>
  <c r="AE18" i="15"/>
  <c r="AF18" i="15"/>
  <c r="AG18" i="15"/>
  <c r="AH18" i="15"/>
  <c r="AI18" i="15"/>
  <c r="AJ18" i="15"/>
  <c r="AK18" i="15"/>
  <c r="AL18" i="15"/>
  <c r="AM18" i="15"/>
  <c r="AN18" i="15"/>
  <c r="AO18" i="15"/>
  <c r="AP18" i="15"/>
  <c r="AQ18" i="15"/>
  <c r="AR18" i="15"/>
  <c r="AS18" i="15"/>
  <c r="AT18" i="15"/>
  <c r="AU18" i="15"/>
  <c r="AV18" i="15"/>
  <c r="AW18" i="15"/>
  <c r="AX18" i="15"/>
  <c r="AY18" i="15"/>
  <c r="AZ18" i="15"/>
  <c r="BA18" i="15"/>
  <c r="BB18" i="15"/>
  <c r="BC18" i="15"/>
  <c r="BD18" i="15"/>
  <c r="BE18" i="15"/>
  <c r="BF18" i="15"/>
  <c r="BG18" i="15"/>
  <c r="BH18" i="15"/>
  <c r="BI18" i="15"/>
  <c r="BJ18" i="15"/>
  <c r="BK18" i="15"/>
  <c r="BL18" i="15"/>
  <c r="BM18" i="15"/>
  <c r="BN18" i="15"/>
  <c r="BO18" i="15"/>
  <c r="BP18" i="15"/>
  <c r="BQ18" i="15"/>
  <c r="BR18" i="15"/>
  <c r="BS18" i="15"/>
  <c r="BT18" i="15"/>
  <c r="BV18" i="15"/>
  <c r="BX18" i="15"/>
  <c r="BY18" i="15"/>
  <c r="BZ18" i="15"/>
  <c r="CA18" i="15"/>
  <c r="CB18" i="15"/>
  <c r="CC18" i="15"/>
  <c r="CD18" i="15"/>
  <c r="CE18" i="15"/>
  <c r="CF18" i="15"/>
  <c r="CG18" i="15"/>
  <c r="CH18" i="15"/>
  <c r="CI18" i="15"/>
  <c r="CJ18" i="15"/>
  <c r="CL18" i="15"/>
  <c r="CM18" i="15"/>
  <c r="CN18" i="15"/>
  <c r="CO18" i="15"/>
  <c r="CP18" i="15"/>
  <c r="CQ18" i="15"/>
  <c r="CR18" i="15"/>
  <c r="CS18" i="15"/>
  <c r="CT18" i="15"/>
  <c r="CU18" i="15"/>
  <c r="CV18" i="15"/>
  <c r="CX18" i="15"/>
  <c r="CZ18" i="15"/>
  <c r="DA18" i="15"/>
  <c r="DB18" i="15"/>
  <c r="DC18" i="15"/>
  <c r="DD18" i="15"/>
  <c r="DE18" i="15"/>
  <c r="DF18" i="15"/>
  <c r="DG18" i="15"/>
  <c r="DH18" i="15"/>
  <c r="DI18" i="15"/>
  <c r="DJ18" i="15"/>
  <c r="DK18" i="15"/>
  <c r="DL18" i="15"/>
  <c r="DM18" i="15"/>
  <c r="DN18" i="15"/>
  <c r="DO18" i="15"/>
  <c r="DP18" i="15"/>
  <c r="DQ18" i="15"/>
  <c r="DR18" i="15"/>
  <c r="DS18" i="15"/>
  <c r="DT18" i="15"/>
  <c r="DU18" i="15"/>
  <c r="DV18" i="15"/>
  <c r="DX18" i="15"/>
  <c r="DZ18" i="15"/>
  <c r="EB18" i="15"/>
  <c r="EC18" i="15"/>
  <c r="ED18" i="15"/>
  <c r="EE18" i="15"/>
  <c r="EF18" i="15"/>
  <c r="EG18" i="15"/>
  <c r="EH18" i="15"/>
  <c r="EI18" i="15"/>
  <c r="EJ18" i="15"/>
  <c r="EK18" i="15"/>
  <c r="EL18" i="15"/>
  <c r="EN18" i="15"/>
  <c r="EP18" i="15"/>
  <c r="EQ18" i="15"/>
  <c r="ER18" i="15"/>
  <c r="ES18" i="15"/>
  <c r="ET18" i="15"/>
  <c r="EU18" i="15"/>
  <c r="EV18" i="15"/>
  <c r="EW18" i="15"/>
  <c r="EX18" i="15"/>
  <c r="EY18" i="15"/>
  <c r="EZ18" i="15"/>
  <c r="FA18" i="15"/>
  <c r="FB18" i="15"/>
  <c r="FD18" i="15"/>
  <c r="FE18" i="15"/>
  <c r="FF18" i="15"/>
  <c r="FG18" i="15"/>
  <c r="FH18" i="15"/>
  <c r="FI18" i="15"/>
  <c r="FJ18" i="15"/>
  <c r="FK18" i="15"/>
  <c r="FL18" i="15"/>
  <c r="FM18" i="15"/>
  <c r="FN18" i="15"/>
  <c r="FP18" i="15"/>
  <c r="FR18" i="15"/>
  <c r="FS18" i="15"/>
  <c r="FT18" i="15"/>
  <c r="FU18" i="15"/>
  <c r="FV18" i="15"/>
  <c r="FW18" i="15"/>
  <c r="FX18" i="15"/>
  <c r="FY18" i="15"/>
  <c r="FZ18" i="15"/>
  <c r="GB18" i="15"/>
  <c r="GD18" i="15"/>
  <c r="GF18" i="15"/>
  <c r="GG18" i="15"/>
  <c r="GH18" i="15"/>
  <c r="GI18" i="15"/>
  <c r="GJ18" i="15"/>
  <c r="GK18" i="15"/>
  <c r="GL18" i="15"/>
  <c r="GM18" i="15"/>
  <c r="GN18" i="15"/>
  <c r="GO18" i="15"/>
  <c r="GP18" i="15"/>
  <c r="GR18" i="15"/>
  <c r="GT18" i="15"/>
  <c r="GU18" i="15"/>
  <c r="GV18" i="15"/>
  <c r="GW18" i="15"/>
  <c r="GX18" i="15"/>
  <c r="GY18" i="15"/>
  <c r="GZ18" i="15"/>
  <c r="HA18" i="15"/>
  <c r="HB18" i="15"/>
  <c r="HC18" i="15"/>
  <c r="HD18" i="15"/>
  <c r="HE18" i="15"/>
  <c r="HF18" i="15"/>
  <c r="HH18" i="15"/>
  <c r="HI18" i="15"/>
  <c r="HJ18" i="15"/>
  <c r="HK18" i="15"/>
  <c r="HL18" i="15"/>
  <c r="HM18" i="15"/>
  <c r="HN18" i="15"/>
  <c r="HO18" i="15"/>
  <c r="HP18" i="15"/>
  <c r="HQ18" i="15"/>
  <c r="HR18" i="15"/>
  <c r="HT18" i="15"/>
  <c r="HV18" i="15"/>
  <c r="HW18" i="15"/>
  <c r="HX18" i="15"/>
  <c r="HY18" i="15"/>
  <c r="HZ18" i="15"/>
  <c r="IA18" i="15"/>
  <c r="IB18" i="15"/>
  <c r="IC18" i="15"/>
  <c r="ID18" i="15"/>
  <c r="IE18" i="15"/>
  <c r="IF18" i="15"/>
  <c r="IH18" i="15"/>
  <c r="II18" i="15"/>
  <c r="IJ18" i="15"/>
  <c r="IK18" i="15"/>
  <c r="IL18" i="15"/>
  <c r="IM18" i="15"/>
  <c r="IN18" i="15"/>
  <c r="IO18" i="15"/>
  <c r="IP18" i="15"/>
  <c r="IQ18" i="15"/>
  <c r="IR18" i="15"/>
  <c r="IS18" i="15"/>
  <c r="IT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P19" i="15"/>
  <c r="Q19" i="15"/>
  <c r="R19" i="15"/>
  <c r="S19" i="15"/>
  <c r="T19" i="15"/>
  <c r="U19" i="15"/>
  <c r="V19" i="15"/>
  <c r="W19" i="15"/>
  <c r="X19" i="15"/>
  <c r="Y19" i="15"/>
  <c r="Z19" i="15"/>
  <c r="AB19" i="15"/>
  <c r="AD19" i="15"/>
  <c r="AE19" i="15"/>
  <c r="AF19" i="15"/>
  <c r="AG19" i="15"/>
  <c r="AH19" i="15"/>
  <c r="AI19" i="15"/>
  <c r="AJ19" i="15"/>
  <c r="AK19" i="15"/>
  <c r="AL19" i="15"/>
  <c r="AM19" i="15"/>
  <c r="AN19" i="15"/>
  <c r="AO19" i="15"/>
  <c r="AP19" i="15"/>
  <c r="AQ19" i="15"/>
  <c r="AR19" i="15"/>
  <c r="AS19" i="15"/>
  <c r="AT19" i="15"/>
  <c r="AU19" i="15"/>
  <c r="AV19" i="15"/>
  <c r="AW19" i="15"/>
  <c r="AX19" i="15"/>
  <c r="AY19" i="15"/>
  <c r="AZ19" i="15"/>
  <c r="BA19" i="15"/>
  <c r="BB19" i="15"/>
  <c r="BC19" i="15"/>
  <c r="BD19" i="15"/>
  <c r="BE19" i="15"/>
  <c r="BF19" i="15"/>
  <c r="BG19" i="15"/>
  <c r="BH19" i="15"/>
  <c r="BI19" i="15"/>
  <c r="BJ19" i="15"/>
  <c r="BK19" i="15"/>
  <c r="BL19" i="15"/>
  <c r="BM19" i="15"/>
  <c r="BN19" i="15"/>
  <c r="BO19" i="15"/>
  <c r="BP19" i="15"/>
  <c r="BQ19" i="15"/>
  <c r="BS19" i="15"/>
  <c r="BT19" i="15"/>
  <c r="BU19" i="15"/>
  <c r="BV19" i="15"/>
  <c r="BW19" i="15"/>
  <c r="BX19" i="15"/>
  <c r="BY19" i="15"/>
  <c r="BZ19" i="15"/>
  <c r="CB19" i="15"/>
  <c r="CC19" i="15"/>
  <c r="CD19" i="15"/>
  <c r="CE19" i="15"/>
  <c r="CF19" i="15"/>
  <c r="CG19" i="15"/>
  <c r="CH19" i="15"/>
  <c r="CI19" i="15"/>
  <c r="CK19" i="15"/>
  <c r="CL19" i="15"/>
  <c r="CM19" i="15"/>
  <c r="CN19" i="15"/>
  <c r="CO19" i="15"/>
  <c r="CP19" i="15"/>
  <c r="CQ19" i="15"/>
  <c r="CR19" i="15"/>
  <c r="CT19" i="15"/>
  <c r="CU19" i="15"/>
  <c r="CV19" i="15"/>
  <c r="CW19" i="15"/>
  <c r="CX19" i="15"/>
  <c r="CY19" i="15"/>
  <c r="CZ19" i="15"/>
  <c r="DA19" i="15"/>
  <c r="DC19" i="15"/>
  <c r="DD19" i="15"/>
  <c r="DE19" i="15"/>
  <c r="DF19" i="15"/>
  <c r="DG19" i="15"/>
  <c r="DH19" i="15"/>
  <c r="DI19" i="15"/>
  <c r="DJ19" i="15"/>
  <c r="DK19" i="15"/>
  <c r="DL19" i="15"/>
  <c r="DM19" i="15"/>
  <c r="DN19" i="15"/>
  <c r="DO19" i="15"/>
  <c r="DP19" i="15"/>
  <c r="DQ19" i="15"/>
  <c r="DR19" i="15"/>
  <c r="DS19" i="15"/>
  <c r="DU19" i="15"/>
  <c r="DV19" i="15"/>
  <c r="DW19" i="15"/>
  <c r="DX19" i="15"/>
  <c r="DY19" i="15"/>
  <c r="DZ19" i="15"/>
  <c r="EA19" i="15"/>
  <c r="EB19" i="15"/>
  <c r="EC19" i="15"/>
  <c r="ED19" i="15"/>
  <c r="EE19" i="15"/>
  <c r="EF19" i="15"/>
  <c r="EG19" i="15"/>
  <c r="EH19" i="15"/>
  <c r="EI19" i="15"/>
  <c r="EJ19" i="15"/>
  <c r="EK19" i="15"/>
  <c r="EL19" i="15"/>
  <c r="EM19" i="15"/>
  <c r="EN19" i="15"/>
  <c r="EO19" i="15"/>
  <c r="EP19" i="15"/>
  <c r="EQ19" i="15"/>
  <c r="ER19" i="15"/>
  <c r="ES19" i="15"/>
  <c r="ET19" i="15"/>
  <c r="EU19" i="15"/>
  <c r="EV19" i="15"/>
  <c r="EW19" i="15"/>
  <c r="EX19" i="15"/>
  <c r="EY19" i="15"/>
  <c r="EZ19" i="15"/>
  <c r="FA19" i="15"/>
  <c r="FB19" i="15"/>
  <c r="FC19" i="15"/>
  <c r="FD19" i="15"/>
  <c r="FE19" i="15"/>
  <c r="FF19" i="15"/>
  <c r="FG19" i="15"/>
  <c r="FH19" i="15"/>
  <c r="FI19" i="15"/>
  <c r="FJ19" i="15"/>
  <c r="FK19" i="15"/>
  <c r="FL19" i="15"/>
  <c r="FM19" i="15"/>
  <c r="FN19" i="15"/>
  <c r="FO19" i="15"/>
  <c r="FP19" i="15"/>
  <c r="FQ19" i="15"/>
  <c r="FR19" i="15"/>
  <c r="FS19" i="15"/>
  <c r="FT19" i="15"/>
  <c r="FU19" i="15"/>
  <c r="FV19" i="15"/>
  <c r="FW19" i="15"/>
  <c r="FX19" i="15"/>
  <c r="FY19" i="15"/>
  <c r="FZ19" i="15"/>
  <c r="GA19" i="15"/>
  <c r="GB19" i="15"/>
  <c r="GC19" i="15"/>
  <c r="GD19" i="15"/>
  <c r="GE19" i="15"/>
  <c r="GF19" i="15"/>
  <c r="GG19" i="15"/>
  <c r="GH19" i="15"/>
  <c r="GI19" i="15"/>
  <c r="GJ19" i="15"/>
  <c r="GK19" i="15"/>
  <c r="GL19" i="15"/>
  <c r="GM19" i="15"/>
  <c r="GN19" i="15"/>
  <c r="GO19" i="15"/>
  <c r="GP19" i="15"/>
  <c r="GQ19" i="15"/>
  <c r="GR19" i="15"/>
  <c r="GS19" i="15"/>
  <c r="GT19" i="15"/>
  <c r="GU19" i="15"/>
  <c r="GV19" i="15"/>
  <c r="GW19" i="15"/>
  <c r="GX19" i="15"/>
  <c r="GY19" i="15"/>
  <c r="GZ19" i="15"/>
  <c r="HA19" i="15"/>
  <c r="HB19" i="15"/>
  <c r="HC19" i="15"/>
  <c r="HD19" i="15"/>
  <c r="HE19" i="15"/>
  <c r="HF19" i="15"/>
  <c r="HG19" i="15"/>
  <c r="HH19" i="15"/>
  <c r="HI19" i="15"/>
  <c r="HJ19" i="15"/>
  <c r="HK19" i="15"/>
  <c r="HL19" i="15"/>
  <c r="HM19" i="15"/>
  <c r="HN19" i="15"/>
  <c r="HO19" i="15"/>
  <c r="HP19" i="15"/>
  <c r="HQ19" i="15"/>
  <c r="HR19" i="15"/>
  <c r="HS19" i="15"/>
  <c r="HT19" i="15"/>
  <c r="HU19" i="15"/>
  <c r="HV19" i="15"/>
  <c r="HW19" i="15"/>
  <c r="HX19" i="15"/>
  <c r="HY19" i="15"/>
  <c r="HZ19" i="15"/>
  <c r="IA19" i="15"/>
  <c r="IB19" i="15"/>
  <c r="IC19" i="15"/>
  <c r="ID19" i="15"/>
  <c r="IE19" i="15"/>
  <c r="IF19" i="15"/>
  <c r="IG19" i="15"/>
  <c r="IH19" i="15"/>
  <c r="II19" i="15"/>
  <c r="IJ19" i="15"/>
  <c r="IK19" i="15"/>
  <c r="IL19" i="15"/>
  <c r="IM19" i="15"/>
  <c r="IN19" i="15"/>
  <c r="IO19" i="15"/>
  <c r="IP19" i="15"/>
  <c r="IQ19" i="15"/>
  <c r="IR19" i="15"/>
  <c r="IS19" i="15"/>
  <c r="IU19" i="15"/>
  <c r="IV19" i="15"/>
  <c r="A20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20" i="15"/>
  <c r="AB20" i="15"/>
  <c r="AC20" i="15"/>
  <c r="AD20" i="15"/>
  <c r="AE20" i="15"/>
  <c r="AF20" i="15"/>
  <c r="AG20" i="15"/>
  <c r="AH20" i="15"/>
  <c r="AI20" i="15"/>
  <c r="AJ20" i="15"/>
  <c r="AK20" i="15"/>
  <c r="AL20" i="15"/>
  <c r="AM20" i="15"/>
  <c r="AN20" i="15"/>
  <c r="AO20" i="15"/>
  <c r="AP20" i="15"/>
  <c r="AR20" i="15"/>
  <c r="AV20" i="15"/>
  <c r="AW20" i="15"/>
  <c r="AX20" i="15"/>
  <c r="AY20" i="15"/>
  <c r="AZ20" i="15"/>
  <c r="BA20" i="15"/>
  <c r="BB20" i="15"/>
  <c r="BC20" i="15"/>
  <c r="BD20" i="15"/>
  <c r="BE20" i="15"/>
  <c r="BF20" i="15"/>
  <c r="BG20" i="15"/>
  <c r="BH20" i="15"/>
  <c r="BI20" i="15"/>
  <c r="BJ20" i="15"/>
  <c r="BK20" i="15"/>
  <c r="BL20" i="15"/>
  <c r="BM20" i="15"/>
  <c r="BN20" i="15"/>
  <c r="BO20" i="15"/>
  <c r="BP20" i="15"/>
  <c r="BQ20" i="15"/>
  <c r="BR20" i="15"/>
  <c r="BS20" i="15"/>
  <c r="BT20" i="15"/>
  <c r="BU20" i="15"/>
  <c r="BV20" i="15"/>
  <c r="BW20" i="15"/>
  <c r="BX20" i="15"/>
  <c r="BY20" i="15"/>
  <c r="BZ20" i="15"/>
  <c r="CA20" i="15"/>
  <c r="CB20" i="15"/>
  <c r="CC20" i="15"/>
  <c r="CD20" i="15"/>
  <c r="CE20" i="15"/>
  <c r="CF20" i="15"/>
  <c r="CG20" i="15"/>
  <c r="CH20" i="15"/>
  <c r="CI20" i="15"/>
  <c r="CJ20" i="15"/>
  <c r="CK20" i="15"/>
  <c r="CL20" i="15"/>
  <c r="CM20" i="15"/>
  <c r="CN20" i="15"/>
  <c r="CO20" i="15"/>
  <c r="CP20" i="15"/>
  <c r="CQ20" i="15"/>
  <c r="CR20" i="15"/>
  <c r="CS20" i="15"/>
  <c r="CT20" i="15"/>
  <c r="CU20" i="15"/>
  <c r="CV20" i="15"/>
  <c r="CW20" i="15"/>
  <c r="CX20" i="15"/>
  <c r="CY20" i="15"/>
  <c r="CZ20" i="15"/>
  <c r="DA20" i="15"/>
  <c r="DB20" i="15"/>
  <c r="DC20" i="15"/>
  <c r="DD20" i="15"/>
  <c r="DE20" i="15"/>
  <c r="DF20" i="15"/>
  <c r="DG20" i="15"/>
  <c r="DH20" i="15"/>
  <c r="DI20" i="15"/>
  <c r="DJ20" i="15"/>
  <c r="DK20" i="15"/>
  <c r="DL20" i="15"/>
  <c r="DM20" i="15"/>
  <c r="DN20" i="15"/>
  <c r="DO20" i="15"/>
  <c r="DP20" i="15"/>
  <c r="DQ20" i="15"/>
  <c r="DR20" i="15"/>
  <c r="DS20" i="15"/>
  <c r="DT20" i="15"/>
  <c r="DU20" i="15"/>
  <c r="DV20" i="15"/>
  <c r="DW20" i="15"/>
  <c r="DX20" i="15"/>
  <c r="DY20" i="15"/>
  <c r="DZ20" i="15"/>
  <c r="EA20" i="15"/>
  <c r="EB20" i="15"/>
  <c r="EC20" i="15"/>
  <c r="ED20" i="15"/>
  <c r="EE20" i="15"/>
  <c r="EF20" i="15"/>
  <c r="EG20" i="15"/>
  <c r="EH20" i="15"/>
  <c r="EI20" i="15"/>
  <c r="EJ20" i="15"/>
  <c r="EK20" i="15"/>
  <c r="EL20" i="15"/>
  <c r="EM20" i="15"/>
  <c r="EN20" i="15"/>
  <c r="EO20" i="15"/>
  <c r="EP20" i="15"/>
  <c r="EQ20" i="15"/>
  <c r="ER20" i="15"/>
  <c r="ES20" i="15"/>
  <c r="ET20" i="15"/>
  <c r="EU20" i="15"/>
  <c r="EV20" i="15"/>
  <c r="EW20" i="15"/>
  <c r="EX20" i="15"/>
  <c r="EY20" i="15"/>
  <c r="EZ20" i="15"/>
  <c r="FA20" i="15"/>
  <c r="FB20" i="15"/>
  <c r="FC20" i="15"/>
  <c r="FD20" i="15"/>
  <c r="FE20" i="15"/>
  <c r="FF20" i="15"/>
  <c r="FG20" i="15"/>
  <c r="FH20" i="15"/>
  <c r="FI20" i="15"/>
  <c r="FJ20" i="15"/>
  <c r="FK20" i="15"/>
  <c r="FL20" i="15"/>
  <c r="FM20" i="15"/>
  <c r="FN20" i="15"/>
  <c r="FO20" i="15"/>
  <c r="FP20" i="15"/>
  <c r="FQ20" i="15"/>
  <c r="FR20" i="15"/>
  <c r="FS20" i="15"/>
  <c r="FT20" i="15"/>
  <c r="FU20" i="15"/>
  <c r="FV20" i="15"/>
  <c r="FW20" i="15"/>
  <c r="FX20" i="15"/>
  <c r="FY20" i="15"/>
  <c r="FZ20" i="15"/>
  <c r="GA20" i="15"/>
  <c r="GB20" i="15"/>
  <c r="GC20" i="15"/>
  <c r="GD20" i="15"/>
  <c r="GE20" i="15"/>
  <c r="GF20" i="15"/>
  <c r="GG20" i="15"/>
  <c r="GH20" i="15"/>
  <c r="GI20" i="15"/>
  <c r="GJ20" i="15"/>
  <c r="GK20" i="15"/>
  <c r="GL20" i="15"/>
  <c r="GM20" i="15"/>
  <c r="GN20" i="15"/>
  <c r="GO20" i="15"/>
  <c r="GP20" i="15"/>
  <c r="GQ20" i="15"/>
  <c r="GR20" i="15"/>
  <c r="GS20" i="15"/>
  <c r="GT20" i="15"/>
  <c r="GU20" i="15"/>
  <c r="GV20" i="15"/>
  <c r="GW20" i="15"/>
  <c r="GX20" i="15"/>
  <c r="GY20" i="15"/>
  <c r="GZ20" i="15"/>
  <c r="HA20" i="15"/>
  <c r="HB20" i="15"/>
  <c r="HC20" i="15"/>
  <c r="HD20" i="15"/>
  <c r="HE20" i="15"/>
  <c r="HF20" i="15"/>
  <c r="HG20" i="15"/>
  <c r="HH20" i="15"/>
  <c r="HI20" i="15"/>
  <c r="HJ20" i="15"/>
  <c r="HK20" i="15"/>
  <c r="HL20" i="15"/>
  <c r="HM20" i="15"/>
  <c r="HN20" i="15"/>
  <c r="HO20" i="15"/>
  <c r="HP20" i="15"/>
  <c r="HQ20" i="15"/>
  <c r="HR20" i="15"/>
  <c r="HS20" i="15"/>
  <c r="HT20" i="15"/>
  <c r="HU20" i="15"/>
  <c r="HV20" i="15"/>
  <c r="HW20" i="15"/>
  <c r="HX20" i="15"/>
  <c r="HY20" i="15"/>
  <c r="HZ20" i="15"/>
  <c r="IA20" i="15"/>
  <c r="IB20" i="15"/>
  <c r="IC20" i="15"/>
  <c r="ID20" i="15"/>
  <c r="IE20" i="15"/>
  <c r="IF20" i="15"/>
  <c r="IG20" i="15"/>
  <c r="IH20" i="15"/>
  <c r="II20" i="15"/>
  <c r="IJ20" i="15"/>
  <c r="IK20" i="15"/>
  <c r="IL20" i="15"/>
  <c r="IM20" i="15"/>
  <c r="IN20" i="15"/>
  <c r="IO20" i="15"/>
  <c r="IP20" i="15"/>
  <c r="IQ20" i="15"/>
  <c r="IR20" i="15"/>
  <c r="IS20" i="15"/>
  <c r="IT20" i="15"/>
  <c r="IU20" i="15"/>
  <c r="IV20" i="15"/>
  <c r="A21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V21" i="15"/>
  <c r="W21" i="15"/>
  <c r="X21" i="15"/>
  <c r="Y21" i="15"/>
  <c r="Z21" i="15"/>
  <c r="AA21" i="15"/>
  <c r="AB21" i="15"/>
  <c r="AC21" i="15"/>
  <c r="AD21" i="15"/>
  <c r="AE21" i="15"/>
  <c r="AF21" i="15"/>
  <c r="AG21" i="15"/>
  <c r="AH21" i="15"/>
  <c r="AI21" i="15"/>
  <c r="AJ21" i="15"/>
  <c r="AK21" i="15"/>
  <c r="AL21" i="15"/>
  <c r="AM21" i="15"/>
  <c r="AN21" i="15"/>
  <c r="AO21" i="15"/>
  <c r="AP21" i="15"/>
  <c r="AQ21" i="15"/>
  <c r="AR21" i="15"/>
  <c r="AS21" i="15"/>
  <c r="AT21" i="15"/>
  <c r="AU21" i="15"/>
  <c r="AV21" i="15"/>
  <c r="AW21" i="15"/>
  <c r="AX21" i="15"/>
  <c r="AY21" i="15"/>
  <c r="AZ21" i="15"/>
  <c r="BA21" i="15"/>
  <c r="BB21" i="15"/>
  <c r="BC21" i="15"/>
  <c r="BD21" i="15"/>
  <c r="BE21" i="15"/>
  <c r="BF21" i="15"/>
  <c r="BG21" i="15"/>
  <c r="BH21" i="15"/>
  <c r="BI21" i="15"/>
  <c r="BJ21" i="15"/>
  <c r="BK21" i="15"/>
  <c r="BL21" i="15"/>
  <c r="BM21" i="15"/>
  <c r="BN21" i="15"/>
  <c r="BO21" i="15"/>
  <c r="BP21" i="15"/>
  <c r="BQ21" i="15"/>
  <c r="BR21" i="15"/>
  <c r="BS21" i="15"/>
  <c r="BT21" i="15"/>
  <c r="BU21" i="15"/>
  <c r="BV21" i="15"/>
  <c r="BW21" i="15"/>
  <c r="BX21" i="15"/>
  <c r="BY21" i="15"/>
  <c r="BZ21" i="15"/>
  <c r="CA21" i="15"/>
  <c r="CB21" i="15"/>
  <c r="CC21" i="15"/>
  <c r="CD21" i="15"/>
  <c r="CE21" i="15"/>
  <c r="CF21" i="15"/>
  <c r="CG21" i="15"/>
  <c r="CH21" i="15"/>
  <c r="CI21" i="15"/>
  <c r="CJ21" i="15"/>
  <c r="CK21" i="15"/>
  <c r="CL21" i="15"/>
  <c r="CM21" i="15"/>
  <c r="CN21" i="15"/>
  <c r="CO21" i="15"/>
  <c r="CP21" i="15"/>
  <c r="CQ21" i="15"/>
  <c r="CR21" i="15"/>
  <c r="CS21" i="15"/>
  <c r="CT21" i="15"/>
  <c r="CU21" i="15"/>
  <c r="CV21" i="15"/>
  <c r="CW21" i="15"/>
  <c r="CX21" i="15"/>
  <c r="CY21" i="15"/>
  <c r="CZ21" i="15"/>
  <c r="DA21" i="15"/>
  <c r="DB21" i="15"/>
  <c r="DC21" i="15"/>
  <c r="DD21" i="15"/>
  <c r="DE21" i="15"/>
  <c r="DF21" i="15"/>
  <c r="DG21" i="15"/>
  <c r="DH21" i="15"/>
  <c r="DI21" i="15"/>
  <c r="DJ21" i="15"/>
  <c r="DK21" i="15"/>
  <c r="DL21" i="15"/>
  <c r="DM21" i="15"/>
  <c r="DN21" i="15"/>
  <c r="DO21" i="15"/>
  <c r="DP21" i="15"/>
  <c r="DQ21" i="15"/>
  <c r="DR21" i="15"/>
  <c r="DS21" i="15"/>
  <c r="DT21" i="15"/>
  <c r="DU21" i="15"/>
  <c r="DV21" i="15"/>
  <c r="DW21" i="15"/>
  <c r="DX21" i="15"/>
  <c r="DY21" i="15"/>
  <c r="DZ21" i="15"/>
  <c r="EA21" i="15"/>
  <c r="EB21" i="15"/>
  <c r="EC21" i="15"/>
  <c r="ED21" i="15"/>
  <c r="EE21" i="15"/>
  <c r="EF21" i="15"/>
  <c r="EG21" i="15"/>
  <c r="EH21" i="15"/>
  <c r="EI21" i="15"/>
  <c r="EJ21" i="15"/>
  <c r="EK21" i="15"/>
  <c r="EL21" i="15"/>
  <c r="EM21" i="15"/>
  <c r="EN21" i="15"/>
  <c r="EO21" i="15"/>
  <c r="EP21" i="15"/>
  <c r="EQ21" i="15"/>
  <c r="ER21" i="15"/>
  <c r="ES21" i="15"/>
  <c r="ET21" i="15"/>
  <c r="EU21" i="15"/>
  <c r="EV21" i="15"/>
  <c r="EW21" i="15"/>
  <c r="EX21" i="15"/>
  <c r="EY21" i="15"/>
  <c r="EZ21" i="15"/>
  <c r="FA21" i="15"/>
  <c r="FB21" i="15"/>
  <c r="FC21" i="15"/>
  <c r="FD21" i="15"/>
  <c r="FE21" i="15"/>
  <c r="FF21" i="15"/>
  <c r="FG21" i="15"/>
  <c r="FH21" i="15"/>
  <c r="FI21" i="15"/>
  <c r="FJ21" i="15"/>
  <c r="FK21" i="15"/>
  <c r="FL21" i="15"/>
  <c r="FM21" i="15"/>
  <c r="FN21" i="15"/>
  <c r="FO21" i="15"/>
  <c r="FP21" i="15"/>
  <c r="FQ21" i="15"/>
  <c r="FR21" i="15"/>
  <c r="FS21" i="15"/>
  <c r="FT21" i="15"/>
  <c r="FU21" i="15"/>
  <c r="FV21" i="15"/>
  <c r="FW21" i="15"/>
  <c r="FX21" i="15"/>
  <c r="FY21" i="15"/>
  <c r="FZ21" i="15"/>
  <c r="GA21" i="15"/>
  <c r="GB21" i="15"/>
  <c r="GC21" i="15"/>
  <c r="GD21" i="15"/>
  <c r="GE21" i="15"/>
  <c r="GF21" i="15"/>
  <c r="GG21" i="15"/>
  <c r="GH21" i="15"/>
  <c r="GI21" i="15"/>
  <c r="GJ21" i="15"/>
  <c r="GK21" i="15"/>
  <c r="GL21" i="15"/>
  <c r="GM21" i="15"/>
  <c r="GN21" i="15"/>
  <c r="GO21" i="15"/>
  <c r="GP21" i="15"/>
  <c r="GQ21" i="15"/>
  <c r="GR21" i="15"/>
  <c r="GS21" i="15"/>
  <c r="GT21" i="15"/>
  <c r="GU21" i="15"/>
  <c r="GV21" i="15"/>
  <c r="GW21" i="15"/>
  <c r="GX21" i="15"/>
  <c r="GY21" i="15"/>
  <c r="GZ21" i="15"/>
  <c r="HA21" i="15"/>
  <c r="HB21" i="15"/>
  <c r="HC21" i="15"/>
  <c r="HD21" i="15"/>
  <c r="HE21" i="15"/>
  <c r="HF21" i="15"/>
  <c r="HG21" i="15"/>
  <c r="HH21" i="15"/>
  <c r="HI21" i="15"/>
  <c r="HJ21" i="15"/>
  <c r="HK21" i="15"/>
  <c r="HL21" i="15"/>
  <c r="HM21" i="15"/>
  <c r="HN21" i="15"/>
  <c r="HO21" i="15"/>
  <c r="HP21" i="15"/>
  <c r="HQ21" i="15"/>
  <c r="HR21" i="15"/>
  <c r="HS21" i="15"/>
  <c r="HT21" i="15"/>
  <c r="HU21" i="15"/>
  <c r="HV21" i="15"/>
  <c r="HW21" i="15"/>
  <c r="HX21" i="15"/>
  <c r="HY21" i="15"/>
  <c r="HZ21" i="15"/>
  <c r="IA21" i="15"/>
  <c r="IB21" i="15"/>
  <c r="IC21" i="15"/>
  <c r="ID21" i="15"/>
  <c r="IE21" i="15"/>
  <c r="IF21" i="15"/>
  <c r="IG21" i="15"/>
  <c r="IH21" i="15"/>
  <c r="II21" i="15"/>
  <c r="IJ21" i="15"/>
  <c r="IK21" i="15"/>
  <c r="IL21" i="15"/>
  <c r="IM21" i="15"/>
  <c r="IN21" i="15"/>
  <c r="IO21" i="15"/>
  <c r="IP21" i="15"/>
  <c r="IQ21" i="15"/>
  <c r="IR21" i="15"/>
  <c r="IS21" i="15"/>
  <c r="IT21" i="15"/>
  <c r="IU21" i="15"/>
  <c r="IV21" i="15"/>
  <c r="A22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Z22" i="15"/>
  <c r="AA22" i="15"/>
  <c r="AB22" i="15"/>
  <c r="AC22" i="15"/>
  <c r="AD22" i="15"/>
  <c r="AE22" i="15"/>
  <c r="AF22" i="15"/>
  <c r="AG22" i="15"/>
  <c r="AH22" i="15"/>
  <c r="AI22" i="15"/>
  <c r="AJ22" i="15"/>
  <c r="AK22" i="15"/>
  <c r="AL22" i="15"/>
  <c r="AM22" i="15"/>
  <c r="AN22" i="15"/>
  <c r="AO22" i="15"/>
  <c r="AP22" i="15"/>
  <c r="AQ22" i="15"/>
  <c r="AR22" i="15"/>
  <c r="AS22" i="15"/>
  <c r="AT22" i="15"/>
  <c r="AU22" i="15"/>
  <c r="AV22" i="15"/>
  <c r="AW22" i="15"/>
  <c r="AX22" i="15"/>
  <c r="AY22" i="15"/>
  <c r="AZ22" i="15"/>
  <c r="BA22" i="15"/>
  <c r="BB22" i="15"/>
  <c r="BC22" i="15"/>
  <c r="BD22" i="15"/>
  <c r="BE22" i="15"/>
  <c r="BF22" i="15"/>
  <c r="BG22" i="15"/>
  <c r="BH22" i="15"/>
  <c r="BI22" i="15"/>
  <c r="BJ22" i="15"/>
  <c r="BK22" i="15"/>
  <c r="BL22" i="15"/>
  <c r="BM22" i="15"/>
  <c r="BN22" i="15"/>
  <c r="BO22" i="15"/>
  <c r="BP22" i="15"/>
  <c r="BQ22" i="15"/>
  <c r="BR22" i="15"/>
  <c r="BS22" i="15"/>
  <c r="BT22" i="15"/>
  <c r="BU22" i="15"/>
  <c r="BV22" i="15"/>
  <c r="BW22" i="15"/>
  <c r="BX22" i="15"/>
  <c r="BY22" i="15"/>
  <c r="BZ22" i="15"/>
  <c r="CA22" i="15"/>
  <c r="CB22" i="15"/>
  <c r="CC22" i="15"/>
  <c r="CD22" i="15"/>
  <c r="CE22" i="15"/>
  <c r="CF22" i="15"/>
  <c r="CG22" i="15"/>
  <c r="CH22" i="15"/>
  <c r="CI22" i="15"/>
  <c r="CJ22" i="15"/>
  <c r="CK22" i="15"/>
  <c r="CL22" i="15"/>
  <c r="CM22" i="15"/>
  <c r="CN22" i="15"/>
  <c r="CO22" i="15"/>
  <c r="CP22" i="15"/>
  <c r="CQ22" i="15"/>
  <c r="CR22" i="15"/>
  <c r="CS22" i="15"/>
  <c r="CT22" i="15"/>
  <c r="CU22" i="15"/>
  <c r="CV22" i="15"/>
  <c r="CW22" i="15"/>
  <c r="CX22" i="15"/>
  <c r="CY22" i="15"/>
  <c r="CZ22" i="15"/>
  <c r="DA22" i="15"/>
  <c r="DB22" i="15"/>
  <c r="DC22" i="15"/>
  <c r="DD22" i="15"/>
  <c r="DE22" i="15"/>
  <c r="DF22" i="15"/>
  <c r="DG22" i="15"/>
  <c r="DH22" i="15"/>
  <c r="DI22" i="15"/>
  <c r="DJ22" i="15"/>
  <c r="DK22" i="15"/>
  <c r="DL22" i="15"/>
  <c r="DM22" i="15"/>
  <c r="DN22" i="15"/>
  <c r="DO22" i="15"/>
  <c r="DP22" i="15"/>
  <c r="DQ22" i="15"/>
  <c r="DR22" i="15"/>
  <c r="DS22" i="15"/>
  <c r="DT22" i="15"/>
  <c r="DU22" i="15"/>
  <c r="DV22" i="15"/>
  <c r="DW22" i="15"/>
  <c r="DX22" i="15"/>
  <c r="DY22" i="15"/>
  <c r="DZ22" i="15"/>
  <c r="EA22" i="15"/>
  <c r="EB22" i="15"/>
  <c r="EC22" i="15"/>
  <c r="ED22" i="15"/>
  <c r="EE22" i="15"/>
  <c r="EF22" i="15"/>
  <c r="EG22" i="15"/>
  <c r="EH22" i="15"/>
  <c r="EI22" i="15"/>
  <c r="EJ22" i="15"/>
  <c r="EK22" i="15"/>
  <c r="EL22" i="15"/>
  <c r="EM22" i="15"/>
  <c r="EN22" i="15"/>
  <c r="EO22" i="15"/>
  <c r="EP22" i="15"/>
  <c r="EQ22" i="15"/>
  <c r="ER22" i="15"/>
  <c r="ES22" i="15"/>
  <c r="ET22" i="15"/>
  <c r="EU22" i="15"/>
  <c r="EV22" i="15"/>
  <c r="EW22" i="15"/>
  <c r="EX22" i="15"/>
  <c r="EY22" i="15"/>
  <c r="EZ22" i="15"/>
  <c r="FA22" i="15"/>
  <c r="FB22" i="15"/>
  <c r="FC22" i="15"/>
  <c r="FD22" i="15"/>
  <c r="FE22" i="15"/>
  <c r="FF22" i="15"/>
  <c r="FG22" i="15"/>
  <c r="FH22" i="15"/>
  <c r="FI22" i="15"/>
  <c r="FJ22" i="15"/>
  <c r="FK22" i="15"/>
  <c r="FL22" i="15"/>
  <c r="FM22" i="15"/>
  <c r="FN22" i="15"/>
  <c r="FO22" i="15"/>
  <c r="FP22" i="15"/>
  <c r="FQ22" i="15"/>
  <c r="FR22" i="15"/>
  <c r="FS22" i="15"/>
  <c r="FT22" i="15"/>
  <c r="FU22" i="15"/>
  <c r="FV22" i="15"/>
  <c r="FW22" i="15"/>
  <c r="FX22" i="15"/>
  <c r="FY22" i="15"/>
  <c r="FZ22" i="15"/>
  <c r="GA22" i="15"/>
  <c r="GB22" i="15"/>
  <c r="GC22" i="15"/>
  <c r="GD22" i="15"/>
  <c r="GE22" i="15"/>
  <c r="GF22" i="15"/>
  <c r="GG22" i="15"/>
  <c r="GH22" i="15"/>
  <c r="GI22" i="15"/>
  <c r="GJ22" i="15"/>
  <c r="GK22" i="15"/>
  <c r="GL22" i="15"/>
  <c r="GM22" i="15"/>
  <c r="GN22" i="15"/>
  <c r="GO22" i="15"/>
  <c r="GP22" i="15"/>
  <c r="GQ22" i="15"/>
  <c r="GR22" i="15"/>
  <c r="GS22" i="15"/>
  <c r="GT22" i="15"/>
  <c r="GU22" i="15"/>
  <c r="GV22" i="15"/>
  <c r="GW22" i="15"/>
  <c r="GX22" i="15"/>
  <c r="GY22" i="15"/>
  <c r="GZ22" i="15"/>
  <c r="HA22" i="15"/>
  <c r="HB22" i="15"/>
  <c r="HC22" i="15"/>
  <c r="HD22" i="15"/>
  <c r="HE22" i="15"/>
  <c r="HF22" i="15"/>
  <c r="HG22" i="15"/>
  <c r="HH22" i="15"/>
  <c r="HI22" i="15"/>
  <c r="HJ22" i="15"/>
  <c r="HK22" i="15"/>
  <c r="HL22" i="15"/>
  <c r="HM22" i="15"/>
  <c r="HN22" i="15"/>
  <c r="HO22" i="15"/>
  <c r="HP22" i="15"/>
  <c r="HQ22" i="15"/>
  <c r="HS22" i="15"/>
  <c r="HT22" i="15"/>
  <c r="HU22" i="15"/>
  <c r="HV22" i="15"/>
  <c r="HW22" i="15"/>
  <c r="HX22" i="15"/>
  <c r="HY22" i="15"/>
  <c r="HZ22" i="15"/>
  <c r="IA22" i="15"/>
  <c r="IB22" i="15"/>
  <c r="IC22" i="15"/>
  <c r="ID22" i="15"/>
  <c r="IE22" i="15"/>
  <c r="IF22" i="15"/>
  <c r="IG22" i="15"/>
  <c r="IH22" i="15"/>
  <c r="II22" i="15"/>
  <c r="IJ22" i="15"/>
  <c r="IK22" i="15"/>
  <c r="IL22" i="15"/>
  <c r="IM22" i="15"/>
  <c r="IN22" i="15"/>
  <c r="IO22" i="15"/>
  <c r="IP22" i="15"/>
  <c r="IQ22" i="15"/>
  <c r="IR22" i="15"/>
  <c r="IS22" i="15"/>
  <c r="IT22" i="15"/>
  <c r="IU22" i="15"/>
  <c r="IV22" i="15"/>
  <c r="A23" i="15"/>
  <c r="B23" i="15"/>
  <c r="C23" i="15"/>
  <c r="D23" i="15"/>
  <c r="E23" i="15"/>
  <c r="H23" i="15"/>
  <c r="I23" i="15"/>
  <c r="J23" i="15"/>
  <c r="K23" i="15"/>
  <c r="L23" i="15"/>
  <c r="M23" i="15"/>
  <c r="N23" i="15"/>
  <c r="P23" i="15"/>
  <c r="Q23" i="15"/>
  <c r="R23" i="15"/>
  <c r="S23" i="15"/>
  <c r="T23" i="15"/>
  <c r="U23" i="15"/>
  <c r="V23" i="15"/>
  <c r="W23" i="15"/>
  <c r="Y23" i="15"/>
  <c r="Z23" i="15"/>
  <c r="AA23" i="15"/>
  <c r="AB23" i="15"/>
  <c r="AC23" i="15"/>
  <c r="AD23" i="15"/>
  <c r="AE23" i="15"/>
  <c r="AF23" i="15"/>
  <c r="AG23" i="15"/>
  <c r="AH23" i="15"/>
  <c r="AI23" i="15"/>
  <c r="AJ23" i="15"/>
  <c r="AK23" i="15"/>
  <c r="AL23" i="15"/>
  <c r="AM23" i="15"/>
  <c r="AN23" i="15"/>
  <c r="AO23" i="15"/>
  <c r="AP23" i="15"/>
  <c r="AQ23" i="15"/>
  <c r="AR23" i="15"/>
  <c r="AS23" i="15"/>
  <c r="AT23" i="15"/>
  <c r="AU23" i="15"/>
  <c r="AV23" i="15"/>
  <c r="AW23" i="15"/>
  <c r="AX23" i="15"/>
  <c r="AY23" i="15"/>
  <c r="AZ23" i="15"/>
  <c r="BA23" i="15"/>
  <c r="BB23" i="15"/>
  <c r="BC23" i="15"/>
  <c r="BD23" i="15"/>
  <c r="BE23" i="15"/>
  <c r="BF23" i="15"/>
  <c r="BG23" i="15"/>
  <c r="BI23" i="15"/>
  <c r="BJ23" i="15"/>
  <c r="BK23" i="15"/>
  <c r="BL23" i="15"/>
  <c r="BM23" i="15"/>
  <c r="BN23" i="15"/>
  <c r="BO23" i="15"/>
  <c r="BP23" i="15"/>
  <c r="BR23" i="15"/>
  <c r="BS23" i="15"/>
  <c r="BT23" i="15"/>
  <c r="BU23" i="15"/>
  <c r="BV23" i="15"/>
  <c r="BW23" i="15"/>
  <c r="BX23" i="15"/>
  <c r="BY23" i="15"/>
  <c r="CA23" i="15"/>
  <c r="CB23" i="15"/>
  <c r="CC23" i="15"/>
  <c r="CD23" i="15"/>
  <c r="CE23" i="15"/>
  <c r="CF23" i="15"/>
  <c r="CG23" i="15"/>
  <c r="CH23" i="15"/>
  <c r="CJ23" i="15"/>
  <c r="CK23" i="15"/>
  <c r="CL23" i="15"/>
  <c r="CM23" i="15"/>
  <c r="CN23" i="15"/>
  <c r="CO23" i="15"/>
  <c r="CP23" i="15"/>
  <c r="CQ23" i="15"/>
  <c r="CS23" i="15"/>
  <c r="CT23" i="15"/>
  <c r="CU23" i="15"/>
  <c r="CV23" i="15"/>
  <c r="CW23" i="15"/>
  <c r="CX23" i="15"/>
  <c r="CY23" i="15"/>
  <c r="CZ23" i="15"/>
  <c r="DA23" i="15"/>
  <c r="DB23" i="15"/>
  <c r="DC23" i="15"/>
  <c r="DD23" i="15"/>
  <c r="DE23" i="15"/>
  <c r="DF23" i="15"/>
  <c r="DG23" i="15"/>
  <c r="DH23" i="15"/>
  <c r="DI23" i="15"/>
  <c r="DJ23" i="15"/>
  <c r="DK23" i="15"/>
  <c r="DL23" i="15"/>
  <c r="DM23" i="15"/>
  <c r="DN23" i="15"/>
  <c r="DO23" i="15"/>
  <c r="DP23" i="15"/>
  <c r="DQ23" i="15"/>
  <c r="DR23" i="15"/>
  <c r="DS23" i="15"/>
  <c r="DT23" i="15"/>
  <c r="DU23" i="15"/>
  <c r="DV23" i="15"/>
  <c r="DW23" i="15"/>
  <c r="DX23" i="15"/>
  <c r="DY23" i="15"/>
  <c r="DZ23" i="15"/>
  <c r="EA23" i="15"/>
  <c r="EB23" i="15"/>
  <c r="EC23" i="15"/>
  <c r="ED23" i="15"/>
  <c r="EE23" i="15"/>
  <c r="EF23" i="15"/>
  <c r="EG23" i="15"/>
  <c r="EH23" i="15"/>
  <c r="EI23" i="15"/>
  <c r="EJ23" i="15"/>
  <c r="EK23" i="15"/>
  <c r="EL23" i="15"/>
  <c r="EM23" i="15"/>
  <c r="EN23" i="15"/>
  <c r="EO23" i="15"/>
  <c r="EP23" i="15"/>
  <c r="EQ23" i="15"/>
  <c r="ES23" i="15"/>
  <c r="ET23" i="15"/>
  <c r="EU23" i="15"/>
  <c r="EV23" i="15"/>
  <c r="EW23" i="15"/>
  <c r="EX23" i="15"/>
  <c r="EY23" i="15"/>
  <c r="EZ23" i="15"/>
  <c r="FA23" i="15"/>
  <c r="FB23" i="15"/>
  <c r="FC23" i="15"/>
  <c r="FD23" i="15"/>
  <c r="FE23" i="15"/>
  <c r="FF23" i="15"/>
  <c r="FG23" i="15"/>
  <c r="FH23" i="15"/>
  <c r="FI23" i="15"/>
  <c r="FJ23" i="15"/>
  <c r="FK23" i="15"/>
  <c r="FL23" i="15"/>
  <c r="FM23" i="15"/>
  <c r="FN23" i="15"/>
  <c r="FO23" i="15"/>
  <c r="FP23" i="15"/>
  <c r="FQ23" i="15"/>
  <c r="FR23" i="15"/>
  <c r="FS23" i="15"/>
  <c r="FT23" i="15"/>
  <c r="FU23" i="15"/>
  <c r="FV23" i="15"/>
  <c r="FW23" i="15"/>
  <c r="FX23" i="15"/>
  <c r="FY23" i="15"/>
  <c r="FZ23" i="15"/>
  <c r="GA23" i="15"/>
  <c r="GB23" i="15"/>
  <c r="GC23" i="15"/>
  <c r="GD23" i="15"/>
  <c r="GE23" i="15"/>
  <c r="GF23" i="15"/>
  <c r="GG23" i="15"/>
  <c r="GH23" i="15"/>
  <c r="GI23" i="15"/>
  <c r="GJ23" i="15"/>
  <c r="GK23" i="15"/>
  <c r="GL23" i="15"/>
  <c r="GM23" i="15"/>
  <c r="GN23" i="15"/>
  <c r="GO23" i="15"/>
  <c r="GP23" i="15"/>
  <c r="GQ23" i="15"/>
  <c r="GR23" i="15"/>
  <c r="GS23" i="15"/>
  <c r="GT23" i="15"/>
  <c r="GU23" i="15"/>
  <c r="GV23" i="15"/>
  <c r="GW23" i="15"/>
  <c r="GX23" i="15"/>
  <c r="GY23" i="15"/>
  <c r="GZ23" i="15"/>
  <c r="HA23" i="15"/>
  <c r="HB23" i="15"/>
  <c r="HC23" i="15"/>
  <c r="HD23" i="15"/>
  <c r="HE23" i="15"/>
  <c r="HF23" i="15"/>
  <c r="HG23" i="15"/>
  <c r="HH23" i="15"/>
  <c r="HI23" i="15"/>
  <c r="HJ23" i="15"/>
  <c r="HK23" i="15"/>
  <c r="HL23" i="15"/>
  <c r="HM23" i="15"/>
  <c r="HN23" i="15"/>
  <c r="HO23" i="15"/>
  <c r="HP23" i="15"/>
  <c r="HQ23" i="15"/>
  <c r="HS23" i="15"/>
  <c r="HT23" i="15"/>
  <c r="HV23" i="15"/>
  <c r="HW23" i="15"/>
  <c r="HX23" i="15"/>
  <c r="HY23" i="15"/>
  <c r="IB23" i="15"/>
  <c r="IC23" i="15"/>
  <c r="IE23" i="15"/>
  <c r="IF23" i="15"/>
  <c r="IG23" i="15"/>
  <c r="IH23" i="15"/>
  <c r="IK23" i="15"/>
  <c r="IL23" i="15"/>
  <c r="IN23" i="15"/>
  <c r="IO23" i="15"/>
  <c r="IP23" i="15"/>
  <c r="IQ23" i="15"/>
  <c r="IR23" i="15"/>
  <c r="IS23" i="15"/>
  <c r="IT23" i="15"/>
  <c r="IU23" i="15"/>
  <c r="IV23" i="15"/>
  <c r="A24" i="15"/>
  <c r="B24" i="15"/>
  <c r="C24" i="15"/>
  <c r="D24" i="15"/>
  <c r="G24" i="15"/>
  <c r="H24" i="15"/>
  <c r="K24" i="15"/>
  <c r="L24" i="15"/>
  <c r="M24" i="15"/>
  <c r="P24" i="15"/>
  <c r="Q24" i="15"/>
  <c r="S24" i="15"/>
  <c r="T24" i="15"/>
  <c r="U24" i="15"/>
  <c r="V24" i="15"/>
  <c r="Y24" i="15"/>
  <c r="Z24" i="15"/>
  <c r="AB24" i="15"/>
  <c r="AC24" i="15"/>
  <c r="AD24" i="15"/>
  <c r="AE24" i="15"/>
  <c r="AH24" i="15"/>
  <c r="AI24" i="15"/>
  <c r="AK24" i="15"/>
  <c r="AL24" i="15"/>
  <c r="AM24" i="15"/>
  <c r="AN24" i="15"/>
  <c r="AQ24" i="15"/>
  <c r="AR24" i="15"/>
  <c r="AT24" i="15"/>
  <c r="AU24" i="15"/>
  <c r="AV24" i="15"/>
  <c r="AW24" i="15"/>
  <c r="AZ24" i="15"/>
  <c r="BA24" i="15"/>
  <c r="BC24" i="15"/>
  <c r="BD24" i="15"/>
  <c r="BE24" i="15"/>
  <c r="BF24" i="15"/>
  <c r="BI24" i="15"/>
  <c r="BJ24" i="15"/>
  <c r="BL24" i="15"/>
  <c r="BM24" i="15"/>
  <c r="BN24" i="15"/>
  <c r="BO24" i="15"/>
  <c r="BR24" i="15"/>
  <c r="BS24" i="15"/>
  <c r="BU24" i="15"/>
  <c r="BV24" i="15"/>
  <c r="BW24" i="15"/>
  <c r="BX24" i="15"/>
  <c r="CA24" i="15"/>
  <c r="CB24" i="15"/>
  <c r="CD24" i="15"/>
  <c r="CE24" i="15"/>
  <c r="CF24" i="15"/>
  <c r="CG24" i="15"/>
  <c r="CJ24" i="15"/>
  <c r="CK24" i="15"/>
  <c r="CM24" i="15"/>
  <c r="CN24" i="15"/>
  <c r="CO24" i="15"/>
  <c r="CP24" i="15"/>
  <c r="CS24" i="15"/>
  <c r="CT24" i="15"/>
  <c r="CV24" i="15"/>
  <c r="CW24" i="15"/>
  <c r="CX24" i="15"/>
  <c r="CY24" i="15"/>
  <c r="CZ24" i="15"/>
  <c r="DA24" i="15"/>
  <c r="DB24" i="15"/>
  <c r="DC24" i="15"/>
  <c r="DD24" i="15"/>
  <c r="DE24" i="15"/>
  <c r="DF24" i="15"/>
  <c r="DG24" i="15"/>
  <c r="DJ24" i="15"/>
  <c r="DK24" i="15"/>
  <c r="DN24" i="15"/>
  <c r="DO24" i="15"/>
  <c r="DP24" i="15"/>
  <c r="DQ24" i="15"/>
  <c r="DT24" i="15"/>
  <c r="DU24" i="15"/>
  <c r="DV24" i="15"/>
  <c r="DW24" i="15"/>
  <c r="DX24" i="15"/>
  <c r="DY24" i="15"/>
  <c r="DZ24" i="15"/>
  <c r="EA24" i="15"/>
  <c r="EB24" i="15"/>
  <c r="EC24" i="15"/>
  <c r="ED24" i="15"/>
  <c r="EE24" i="15"/>
  <c r="EF24" i="15"/>
  <c r="EG24" i="15"/>
  <c r="EH24" i="15"/>
  <c r="EI24" i="15"/>
  <c r="EJ24" i="15"/>
  <c r="EK24" i="15"/>
  <c r="EL24" i="15"/>
  <c r="EM24" i="15"/>
  <c r="EN24" i="15"/>
  <c r="EO24" i="15"/>
  <c r="EP24" i="15"/>
  <c r="EQ24" i="15"/>
  <c r="ER24" i="15"/>
  <c r="ES24" i="15"/>
  <c r="ET24" i="15"/>
  <c r="EU24" i="15"/>
  <c r="EV24" i="15"/>
  <c r="EW24" i="15"/>
  <c r="EX24" i="15"/>
  <c r="EY24" i="15"/>
  <c r="EZ24" i="15"/>
  <c r="FA24" i="15"/>
  <c r="FB24" i="15"/>
  <c r="FC24" i="15"/>
  <c r="FD24" i="15"/>
  <c r="FE24" i="15"/>
  <c r="FF24" i="15"/>
  <c r="FG24" i="15"/>
  <c r="FH24" i="15"/>
  <c r="FI24" i="15"/>
  <c r="FJ24" i="15"/>
  <c r="FK24" i="15"/>
  <c r="FL24" i="15"/>
  <c r="FM24" i="15"/>
  <c r="FN24" i="15"/>
  <c r="FO24" i="15"/>
  <c r="FP24" i="15"/>
  <c r="FQ24" i="15"/>
  <c r="FR24" i="15"/>
  <c r="FS24" i="15"/>
  <c r="FT24" i="15"/>
  <c r="FU24" i="15"/>
  <c r="FV24" i="15"/>
  <c r="FW24" i="15"/>
  <c r="FX24" i="15"/>
  <c r="FY24" i="15"/>
  <c r="FZ24" i="15"/>
  <c r="GA24" i="15"/>
  <c r="GB24" i="15"/>
  <c r="GC24" i="15"/>
  <c r="GD24" i="15"/>
  <c r="GE24" i="15"/>
  <c r="GF24" i="15"/>
  <c r="GG24" i="15"/>
  <c r="GH24" i="15"/>
  <c r="GI24" i="15"/>
  <c r="GJ24" i="15"/>
  <c r="GK24" i="15"/>
  <c r="GL24" i="15"/>
  <c r="GM24" i="15"/>
  <c r="GN24" i="15"/>
  <c r="GO24" i="15"/>
  <c r="GP24" i="15"/>
  <c r="GQ24" i="15"/>
  <c r="GR24" i="15"/>
  <c r="GS24" i="15"/>
  <c r="GT24" i="15"/>
  <c r="GU24" i="15"/>
  <c r="GV24" i="15"/>
  <c r="GW24" i="15"/>
  <c r="GX24" i="15"/>
  <c r="GY24" i="15"/>
  <c r="HB24" i="15"/>
  <c r="HC24" i="15"/>
  <c r="HD24" i="15"/>
  <c r="HF24" i="15"/>
  <c r="HG24" i="15"/>
  <c r="HH24" i="15"/>
  <c r="HI24" i="15"/>
  <c r="HL24" i="15"/>
  <c r="HM24" i="15"/>
  <c r="HN24" i="15"/>
  <c r="HP24" i="15"/>
  <c r="HQ24" i="15"/>
  <c r="HR24" i="15"/>
  <c r="HS24" i="15"/>
  <c r="HV24" i="15"/>
  <c r="HW24" i="15"/>
  <c r="HX24" i="15"/>
  <c r="HZ24" i="15"/>
  <c r="IA24" i="15"/>
  <c r="IB24" i="15"/>
  <c r="IC24" i="15"/>
  <c r="ID24" i="15"/>
  <c r="IE24" i="15"/>
  <c r="IF24" i="15"/>
  <c r="IG24" i="15"/>
  <c r="IH24" i="15"/>
  <c r="II24" i="15"/>
  <c r="IJ24" i="15"/>
  <c r="IK24" i="15"/>
  <c r="IL24" i="15"/>
  <c r="IM24" i="15"/>
  <c r="IP24" i="15"/>
  <c r="IQ24" i="15"/>
  <c r="IR24" i="15"/>
  <c r="IT24" i="15"/>
  <c r="IU24" i="15"/>
  <c r="IV24" i="15"/>
  <c r="A25" i="15"/>
  <c r="D25" i="15"/>
  <c r="E25" i="15"/>
  <c r="F25" i="15"/>
  <c r="I25" i="15"/>
  <c r="J25" i="15"/>
  <c r="K25" i="15"/>
  <c r="N25" i="15"/>
  <c r="O25" i="15"/>
  <c r="P25" i="15"/>
  <c r="R25" i="15"/>
  <c r="S25" i="15"/>
  <c r="T25" i="15"/>
  <c r="U25" i="15"/>
  <c r="X25" i="15"/>
  <c r="Y25" i="15"/>
  <c r="Z25" i="15"/>
  <c r="AB25" i="15"/>
  <c r="AC25" i="15"/>
  <c r="AD25" i="15"/>
  <c r="AE25" i="15"/>
  <c r="AH25" i="15"/>
  <c r="AI25" i="15"/>
  <c r="AJ25" i="15"/>
  <c r="AL25" i="15"/>
  <c r="AM25" i="15"/>
  <c r="AN25" i="15"/>
  <c r="AO25" i="15"/>
  <c r="AR25" i="15"/>
  <c r="AS25" i="15"/>
  <c r="AT25" i="15"/>
  <c r="AV25" i="15"/>
  <c r="AW25" i="15"/>
  <c r="AX25" i="15"/>
  <c r="AY25" i="15"/>
  <c r="BB25" i="15"/>
  <c r="BC25" i="15"/>
  <c r="BD25" i="15"/>
  <c r="BF25" i="15"/>
  <c r="BG25" i="15"/>
  <c r="BH25" i="15"/>
  <c r="BI25" i="15"/>
  <c r="BL25" i="15"/>
  <c r="BM25" i="15"/>
  <c r="BN25" i="15"/>
  <c r="BP25" i="15"/>
  <c r="BQ25" i="15"/>
  <c r="BR25" i="15"/>
  <c r="BS25" i="15"/>
  <c r="BV25" i="15"/>
  <c r="BW25" i="15"/>
  <c r="BX25" i="15"/>
  <c r="BY25" i="15"/>
  <c r="BZ25" i="15"/>
  <c r="CA25" i="15"/>
  <c r="CB25" i="15"/>
  <c r="CC25" i="15"/>
  <c r="CF25" i="15"/>
  <c r="CG25" i="15"/>
  <c r="CH25" i="15"/>
  <c r="CJ25" i="15"/>
  <c r="CK25" i="15"/>
  <c r="CL25" i="15"/>
  <c r="CM25" i="15"/>
  <c r="CP25" i="15"/>
  <c r="CQ25" i="15"/>
  <c r="CR25" i="15"/>
  <c r="CT25" i="15"/>
  <c r="CU25" i="15"/>
  <c r="CV25" i="15"/>
  <c r="CW25" i="15"/>
  <c r="CX25" i="15"/>
  <c r="CY25" i="15"/>
  <c r="CZ25" i="15"/>
  <c r="DA25" i="15"/>
  <c r="DB25" i="15"/>
  <c r="DC25" i="15"/>
  <c r="DD25" i="15"/>
  <c r="DE25" i="15"/>
  <c r="DF25" i="15"/>
  <c r="DG25" i="15"/>
  <c r="DH25" i="15"/>
  <c r="DJ25" i="15"/>
  <c r="DK25" i="15"/>
  <c r="DM25" i="15"/>
  <c r="DN25" i="15"/>
  <c r="DO25" i="15"/>
  <c r="DP25" i="15"/>
  <c r="DQ25" i="15"/>
  <c r="DR25" i="15"/>
  <c r="DS25" i="15"/>
  <c r="DT25" i="15"/>
  <c r="DU25" i="15"/>
  <c r="DV25" i="15"/>
  <c r="DW25" i="15"/>
  <c r="DX25" i="15"/>
  <c r="DY25" i="15"/>
  <c r="DZ25" i="15"/>
  <c r="EA25" i="15"/>
  <c r="EB25" i="15"/>
  <c r="EC25" i="15"/>
  <c r="ED25" i="15"/>
  <c r="EE25" i="15"/>
  <c r="EF25" i="15"/>
  <c r="EG25" i="15"/>
  <c r="EH25" i="15"/>
  <c r="EI25" i="15"/>
  <c r="EJ25" i="15"/>
  <c r="EK25" i="15"/>
  <c r="EL25" i="15"/>
  <c r="EM25" i="15"/>
  <c r="EN25" i="15"/>
  <c r="EO25" i="15"/>
  <c r="EP25" i="15"/>
  <c r="EQ25" i="15"/>
  <c r="ER25" i="15"/>
  <c r="ES25" i="15"/>
  <c r="ET25" i="15"/>
  <c r="EU25" i="15"/>
  <c r="EV25" i="15"/>
  <c r="EW25" i="15"/>
  <c r="EX25" i="15"/>
  <c r="EY25" i="15"/>
  <c r="EZ25" i="15"/>
  <c r="FA25" i="15"/>
  <c r="FB25" i="15"/>
  <c r="FC25" i="15"/>
  <c r="FD25" i="15"/>
  <c r="FE25" i="15"/>
  <c r="FF25" i="15"/>
  <c r="FG25" i="15"/>
  <c r="FH25" i="15"/>
  <c r="FI25" i="15"/>
  <c r="FJ25" i="15"/>
  <c r="FK25" i="15"/>
  <c r="FL25" i="15"/>
  <c r="FM25" i="15"/>
  <c r="FN25" i="15"/>
  <c r="FO25" i="15"/>
  <c r="FP25" i="15"/>
  <c r="FQ25" i="15"/>
  <c r="FR25" i="15"/>
  <c r="FS25" i="15"/>
  <c r="FT25" i="15"/>
  <c r="FU25" i="15"/>
  <c r="FV25" i="15"/>
  <c r="FW25" i="15"/>
  <c r="FX25" i="15"/>
  <c r="FY25" i="15"/>
  <c r="FZ25" i="15"/>
  <c r="GA25" i="15"/>
  <c r="GB25" i="15"/>
  <c r="GC25" i="15"/>
  <c r="GD25" i="15"/>
  <c r="GE25" i="15"/>
  <c r="GF25" i="15"/>
  <c r="GG25" i="15"/>
  <c r="GH25" i="15"/>
  <c r="GI25" i="15"/>
  <c r="GJ25" i="15"/>
  <c r="GK25" i="15"/>
  <c r="GL25" i="15"/>
  <c r="GM25" i="15"/>
  <c r="GN25" i="15"/>
  <c r="GO25" i="15"/>
  <c r="GP25" i="15"/>
  <c r="GQ25" i="15"/>
  <c r="GR25" i="15"/>
  <c r="GS25" i="15"/>
  <c r="GT25" i="15"/>
  <c r="GU25" i="15"/>
  <c r="GV25" i="15"/>
  <c r="GW25" i="15"/>
  <c r="GX25" i="15"/>
  <c r="GY25" i="15"/>
  <c r="GZ25" i="15"/>
  <c r="HA25" i="15"/>
  <c r="HB25" i="15"/>
  <c r="HC25" i="15"/>
  <c r="HD25" i="15"/>
  <c r="HE25" i="15"/>
  <c r="HF25" i="15"/>
  <c r="HG25" i="15"/>
  <c r="HH25" i="15"/>
  <c r="HI25" i="15"/>
  <c r="HJ25" i="15"/>
  <c r="HK25" i="15"/>
  <c r="HL25" i="15"/>
  <c r="HM25" i="15"/>
  <c r="HN25" i="15"/>
  <c r="HO25" i="15"/>
  <c r="HP25" i="15"/>
  <c r="HQ25" i="15"/>
  <c r="HR25" i="15"/>
  <c r="HS25" i="15"/>
  <c r="HT25" i="15"/>
  <c r="HU25" i="15"/>
  <c r="HV25" i="15"/>
  <c r="HW25" i="15"/>
  <c r="HX25" i="15"/>
  <c r="HY25" i="15"/>
  <c r="HZ25" i="15"/>
  <c r="IA25" i="15"/>
  <c r="IB25" i="15"/>
  <c r="IC25" i="15"/>
  <c r="ID25" i="15"/>
  <c r="IE25" i="15"/>
  <c r="IF25" i="15"/>
  <c r="IG25" i="15"/>
  <c r="II25" i="15"/>
  <c r="IJ25" i="15"/>
  <c r="IK25" i="15"/>
  <c r="IL25" i="15"/>
  <c r="IM25" i="15"/>
  <c r="IN25" i="15"/>
  <c r="IO25" i="15"/>
  <c r="IP25" i="15"/>
  <c r="IQ25" i="15"/>
  <c r="IR25" i="15"/>
  <c r="IS25" i="15"/>
  <c r="IU25" i="15"/>
  <c r="IV25" i="15"/>
  <c r="A26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V26" i="15"/>
  <c r="W26" i="15"/>
  <c r="X26" i="15"/>
  <c r="Y26" i="15"/>
  <c r="Z26" i="15"/>
  <c r="AA26" i="15"/>
  <c r="AB26" i="15"/>
  <c r="AC26" i="15"/>
  <c r="AD26" i="15"/>
  <c r="AE26" i="15"/>
  <c r="AF26" i="15"/>
  <c r="AG26" i="15"/>
  <c r="AH26" i="15"/>
  <c r="AI26" i="15"/>
  <c r="AJ26" i="15"/>
  <c r="AK26" i="15"/>
  <c r="AL26" i="15"/>
  <c r="AM26" i="15"/>
  <c r="AN26" i="15"/>
  <c r="AO26" i="15"/>
  <c r="AP26" i="15"/>
  <c r="AQ26" i="15"/>
  <c r="AR26" i="15"/>
  <c r="AS26" i="15"/>
  <c r="AT26" i="15"/>
  <c r="AU26" i="15"/>
  <c r="AV26" i="15"/>
  <c r="AW26" i="15"/>
  <c r="AX26" i="15"/>
  <c r="AY26" i="15"/>
  <c r="AZ26" i="15"/>
  <c r="BA26" i="15"/>
  <c r="BB26" i="15"/>
  <c r="BC26" i="15"/>
  <c r="BD26" i="15"/>
  <c r="BE26" i="15"/>
  <c r="BG26" i="15"/>
  <c r="BH26" i="15"/>
  <c r="BI26" i="15"/>
  <c r="BJ26" i="15"/>
  <c r="BK26" i="15"/>
  <c r="BL26" i="15"/>
  <c r="BM26" i="15"/>
  <c r="BN26" i="15"/>
  <c r="BO26" i="15"/>
  <c r="BP26" i="15"/>
  <c r="BQ26" i="15"/>
  <c r="BR26" i="15"/>
  <c r="BS26" i="15"/>
  <c r="BT26" i="15"/>
  <c r="BU26" i="15"/>
  <c r="BV26" i="15"/>
  <c r="BW26" i="15"/>
  <c r="BX26" i="15"/>
  <c r="BY26" i="15"/>
  <c r="BZ26" i="15"/>
  <c r="CA26" i="15"/>
  <c r="CB26" i="15"/>
  <c r="CC26" i="15"/>
  <c r="CD26" i="15"/>
  <c r="CE26" i="15"/>
  <c r="CF26" i="15"/>
  <c r="CG26" i="15"/>
  <c r="CH26" i="15"/>
  <c r="CI26" i="15"/>
  <c r="CJ26" i="15"/>
  <c r="CK26" i="15"/>
  <c r="CL26" i="15"/>
  <c r="CM26" i="15"/>
  <c r="CN26" i="15"/>
  <c r="CO26" i="15"/>
  <c r="CP26" i="15"/>
  <c r="CQ26" i="15"/>
  <c r="CR26" i="15"/>
  <c r="CS26" i="15"/>
  <c r="CT26" i="15"/>
  <c r="CU26" i="15"/>
  <c r="CV26" i="15"/>
  <c r="CW26" i="15"/>
  <c r="CX26" i="15"/>
  <c r="CY26" i="15"/>
  <c r="CZ26" i="15"/>
  <c r="DA26" i="15"/>
  <c r="DB26" i="15"/>
  <c r="DC26" i="15"/>
  <c r="DD26" i="15"/>
  <c r="DE26" i="15"/>
  <c r="DF26" i="15"/>
  <c r="DG26" i="15"/>
  <c r="DH26" i="15"/>
  <c r="DI26" i="15"/>
  <c r="DJ26" i="15"/>
  <c r="DK26" i="15"/>
  <c r="DL26" i="15"/>
  <c r="DM26" i="15"/>
  <c r="DN26" i="15"/>
  <c r="DO26" i="15"/>
  <c r="DP26" i="15"/>
  <c r="DQ26" i="15"/>
  <c r="DR26" i="15"/>
  <c r="DS26" i="15"/>
  <c r="DT26" i="15"/>
  <c r="DU26" i="15"/>
  <c r="DV26" i="15"/>
  <c r="DW26" i="15"/>
  <c r="DX26" i="15"/>
  <c r="DY26" i="15"/>
  <c r="DZ26" i="15"/>
  <c r="EA26" i="15"/>
  <c r="EB26" i="15"/>
  <c r="EC26" i="15"/>
  <c r="ED26" i="15"/>
  <c r="EE26" i="15"/>
  <c r="EF26" i="15"/>
  <c r="EG26" i="15"/>
  <c r="EH26" i="15"/>
  <c r="EI26" i="15"/>
  <c r="EJ26" i="15"/>
  <c r="EK26" i="15"/>
  <c r="EL26" i="15"/>
  <c r="EM26" i="15"/>
  <c r="EN26" i="15"/>
  <c r="EO26" i="15"/>
  <c r="EP26" i="15"/>
  <c r="EQ26" i="15"/>
  <c r="ER26" i="15"/>
  <c r="ES26" i="15"/>
  <c r="ET26" i="15"/>
  <c r="EU26" i="15"/>
  <c r="EV26" i="15"/>
  <c r="EW26" i="15"/>
  <c r="EY26" i="15"/>
  <c r="EZ26" i="15"/>
  <c r="FA26" i="15"/>
  <c r="FB26" i="15"/>
  <c r="FC26" i="15"/>
  <c r="FD26" i="15"/>
  <c r="FE26" i="15"/>
  <c r="FF26" i="15"/>
  <c r="FG26" i="15"/>
  <c r="FH26" i="15"/>
  <c r="FI26" i="15"/>
  <c r="FJ26" i="15"/>
  <c r="FK26" i="15"/>
  <c r="FL26" i="15"/>
  <c r="FM26" i="15"/>
  <c r="FN26" i="15"/>
  <c r="FO26" i="15"/>
  <c r="FP26" i="15"/>
  <c r="FQ26" i="15"/>
  <c r="FR26" i="15"/>
  <c r="FS26" i="15"/>
  <c r="FT26" i="15"/>
  <c r="FU26" i="15"/>
  <c r="FW26" i="15"/>
  <c r="FX26" i="15"/>
  <c r="FY26" i="15"/>
  <c r="FZ26" i="15"/>
  <c r="GA26" i="15"/>
  <c r="GB26" i="15"/>
  <c r="GC26" i="15"/>
  <c r="GD26" i="15"/>
  <c r="GE26" i="15"/>
  <c r="GF26" i="15"/>
  <c r="GG26" i="15"/>
  <c r="GH26" i="15"/>
  <c r="GI26" i="15"/>
  <c r="GJ26" i="15"/>
  <c r="GK26" i="15"/>
  <c r="GL26" i="15"/>
  <c r="GM26" i="15"/>
  <c r="GN26" i="15"/>
  <c r="GO26" i="15"/>
  <c r="GP26" i="15"/>
  <c r="GQ26" i="15"/>
  <c r="GR26" i="15"/>
  <c r="GS26" i="15"/>
  <c r="GT26" i="15"/>
  <c r="GU26" i="15"/>
  <c r="GV26" i="15"/>
  <c r="HD26" i="15"/>
  <c r="HE26" i="15"/>
  <c r="HF26" i="15"/>
  <c r="HG26" i="15"/>
  <c r="HO26" i="15"/>
  <c r="HP26" i="15"/>
  <c r="HQ26" i="15"/>
  <c r="HR26" i="15"/>
  <c r="HZ26" i="15"/>
  <c r="IA26" i="15"/>
  <c r="IB26" i="15"/>
  <c r="IC26" i="15"/>
  <c r="ID26" i="15"/>
  <c r="IE26" i="15"/>
  <c r="IF26" i="15"/>
  <c r="IG26" i="15"/>
  <c r="IH26" i="15"/>
  <c r="II26" i="15"/>
  <c r="IJ26" i="15"/>
  <c r="IK26" i="15"/>
  <c r="IL26" i="15"/>
  <c r="IM26" i="15"/>
  <c r="IN26" i="15"/>
  <c r="IO26" i="15"/>
  <c r="IP26" i="15"/>
  <c r="IQ26" i="15"/>
  <c r="IR26" i="15"/>
  <c r="IS26" i="15"/>
  <c r="IT26" i="15"/>
  <c r="IU26" i="15"/>
  <c r="IV26" i="15"/>
  <c r="A27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AB27" i="15"/>
  <c r="AC27" i="15"/>
  <c r="AD27" i="15"/>
  <c r="AE27" i="15"/>
  <c r="AF27" i="15"/>
  <c r="AG27" i="15"/>
  <c r="AH27" i="15"/>
  <c r="AR27" i="15"/>
  <c r="AS27" i="15"/>
  <c r="AT27" i="15"/>
  <c r="AU27" i="15"/>
  <c r="AV27" i="15"/>
  <c r="AW27" i="15"/>
  <c r="AX27" i="15"/>
  <c r="AY27" i="15"/>
  <c r="AZ27" i="15"/>
  <c r="BA27" i="15"/>
  <c r="BB27" i="15"/>
  <c r="BC27" i="15"/>
  <c r="BD27" i="15"/>
  <c r="BE27" i="15"/>
  <c r="BF27" i="15"/>
  <c r="BG27" i="15"/>
  <c r="BH27" i="15"/>
  <c r="BI27" i="15"/>
  <c r="BJ27" i="15"/>
  <c r="BK27" i="15"/>
  <c r="BL27" i="15"/>
  <c r="BM27" i="15"/>
  <c r="BN27" i="15"/>
  <c r="BO27" i="15"/>
  <c r="BP27" i="15"/>
  <c r="BQ27" i="15"/>
  <c r="BR27" i="15"/>
  <c r="BS27" i="15"/>
  <c r="BT27" i="15"/>
  <c r="BU27" i="15"/>
  <c r="BV27" i="15"/>
  <c r="BW27" i="15"/>
  <c r="BX27" i="15"/>
  <c r="BY27" i="15"/>
  <c r="BZ27" i="15"/>
  <c r="CA27" i="15"/>
  <c r="CB27" i="15"/>
  <c r="CC27" i="15"/>
  <c r="CD27" i="15"/>
  <c r="CE27" i="15"/>
  <c r="CF27" i="15"/>
  <c r="CG27" i="15"/>
  <c r="CH27" i="15"/>
  <c r="CI27" i="15"/>
  <c r="CJ27" i="15"/>
  <c r="CK27" i="15"/>
  <c r="CL27" i="15"/>
  <c r="CM27" i="15"/>
  <c r="CN27" i="15"/>
  <c r="CO27" i="15"/>
  <c r="CP27" i="15"/>
  <c r="CQ27" i="15"/>
  <c r="CR27" i="15"/>
  <c r="CS27" i="15"/>
  <c r="CT27" i="15"/>
  <c r="CU27" i="15"/>
  <c r="CV27" i="15"/>
  <c r="CW27" i="15"/>
  <c r="CX27" i="15"/>
  <c r="CY27" i="15"/>
  <c r="CZ27" i="15"/>
  <c r="DA27" i="15"/>
  <c r="DB27" i="15"/>
  <c r="DC27" i="15"/>
  <c r="DD27" i="15"/>
  <c r="DE27" i="15"/>
  <c r="DF27" i="15"/>
  <c r="DG27" i="15"/>
  <c r="DH27" i="15"/>
  <c r="DI27" i="15"/>
  <c r="DJ27" i="15"/>
  <c r="DK27" i="15"/>
  <c r="DL27" i="15"/>
  <c r="DM27" i="15"/>
  <c r="DN27" i="15"/>
  <c r="DO27" i="15"/>
  <c r="DP27" i="15"/>
  <c r="DQ27" i="15"/>
  <c r="DR27" i="15"/>
  <c r="DS27" i="15"/>
  <c r="DT27" i="15"/>
  <c r="DU27" i="15"/>
  <c r="DV27" i="15"/>
  <c r="DW27" i="15"/>
  <c r="DX27" i="15"/>
  <c r="DY27" i="15"/>
  <c r="DZ27" i="15"/>
  <c r="EA27" i="15"/>
  <c r="EB27" i="15"/>
  <c r="EC27" i="15"/>
  <c r="ED27" i="15"/>
  <c r="EE27" i="15"/>
  <c r="EF27" i="15"/>
  <c r="EG27" i="15"/>
  <c r="EH27" i="15"/>
  <c r="EI27" i="15"/>
  <c r="EJ27" i="15"/>
  <c r="EK27" i="15"/>
  <c r="EL27" i="15"/>
  <c r="EM27" i="15"/>
  <c r="EN27" i="15"/>
  <c r="EO27" i="15"/>
  <c r="EP27" i="15"/>
  <c r="EQ27" i="15"/>
  <c r="ER27" i="15"/>
  <c r="ES27" i="15"/>
  <c r="ET27" i="15"/>
  <c r="EU27" i="15"/>
  <c r="EV27" i="15"/>
  <c r="EW27" i="15"/>
  <c r="EX27" i="15"/>
  <c r="EY27" i="15"/>
  <c r="EZ27" i="15"/>
  <c r="FA27" i="15"/>
  <c r="FB27" i="15"/>
  <c r="FC27" i="15"/>
  <c r="FD27" i="15"/>
  <c r="FE27" i="15"/>
  <c r="FF27" i="15"/>
  <c r="FG27" i="15"/>
  <c r="FH27" i="15"/>
  <c r="FI27" i="15"/>
  <c r="FJ27" i="15"/>
  <c r="FK27" i="15"/>
  <c r="FL27" i="15"/>
  <c r="FM27" i="15"/>
  <c r="FN27" i="15"/>
  <c r="FO27" i="15"/>
  <c r="FP27" i="15"/>
  <c r="FQ27" i="15"/>
  <c r="FR27" i="15"/>
  <c r="FS27" i="15"/>
  <c r="FT27" i="15"/>
  <c r="FU27" i="15"/>
  <c r="FV27" i="15"/>
  <c r="FW27" i="15"/>
  <c r="FX27" i="15"/>
  <c r="FY27" i="15"/>
  <c r="FZ27" i="15"/>
  <c r="GA27" i="15"/>
  <c r="GB27" i="15"/>
  <c r="GC27" i="15"/>
  <c r="GD27" i="15"/>
  <c r="GE27" i="15"/>
  <c r="GF27" i="15"/>
  <c r="GG27" i="15"/>
  <c r="GH27" i="15"/>
  <c r="GI27" i="15"/>
  <c r="GJ27" i="15"/>
  <c r="GK27" i="15"/>
  <c r="GL27" i="15"/>
  <c r="GM27" i="15"/>
  <c r="GN27" i="15"/>
  <c r="GO27" i="15"/>
  <c r="GP27" i="15"/>
  <c r="GQ27" i="15"/>
  <c r="GR27" i="15"/>
  <c r="GS27" i="15"/>
  <c r="GT27" i="15"/>
  <c r="GU27" i="15"/>
  <c r="GV27" i="15"/>
  <c r="GW27" i="15"/>
  <c r="GX27" i="15"/>
  <c r="GY27" i="15"/>
  <c r="GZ27" i="15"/>
  <c r="HA27" i="15"/>
  <c r="HB27" i="15"/>
  <c r="HC27" i="15"/>
  <c r="HD27" i="15"/>
  <c r="HE27" i="15"/>
  <c r="HF27" i="15"/>
  <c r="HG27" i="15"/>
  <c r="HH27" i="15"/>
  <c r="HI27" i="15"/>
  <c r="HJ27" i="15"/>
  <c r="HK27" i="15"/>
  <c r="HL27" i="15"/>
  <c r="HM27" i="15"/>
  <c r="HN27" i="15"/>
  <c r="HO27" i="15"/>
  <c r="HP27" i="15"/>
  <c r="HQ27" i="15"/>
  <c r="HR27" i="15"/>
  <c r="HS27" i="15"/>
  <c r="HT27" i="15"/>
  <c r="HU27" i="15"/>
  <c r="HV27" i="15"/>
  <c r="HW27" i="15"/>
  <c r="HX27" i="15"/>
  <c r="HY27" i="15"/>
  <c r="HZ27" i="15"/>
  <c r="IA27" i="15"/>
  <c r="IB27" i="15"/>
  <c r="IC27" i="15"/>
  <c r="ID27" i="15"/>
  <c r="IE27" i="15"/>
  <c r="IF27" i="15"/>
  <c r="IG27" i="15"/>
  <c r="IH27" i="15"/>
  <c r="II27" i="15"/>
  <c r="IJ27" i="15"/>
  <c r="IK27" i="15"/>
  <c r="IL27" i="15"/>
  <c r="IM27" i="15"/>
  <c r="IN27" i="15"/>
  <c r="IO27" i="15"/>
  <c r="IP27" i="15"/>
  <c r="IQ27" i="15"/>
  <c r="IR27" i="15"/>
  <c r="IS27" i="15"/>
  <c r="IT27" i="15"/>
  <c r="IU27" i="15"/>
  <c r="IV27" i="15"/>
  <c r="A28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AD28" i="15"/>
  <c r="AE28" i="15"/>
  <c r="AF28" i="15"/>
  <c r="AG28" i="15"/>
  <c r="AH28" i="15"/>
  <c r="AI28" i="15"/>
  <c r="AJ28" i="15"/>
  <c r="AK28" i="15"/>
  <c r="AL28" i="15"/>
  <c r="AM28" i="15"/>
  <c r="AN28" i="15"/>
  <c r="AO28" i="15"/>
  <c r="AP28" i="15"/>
  <c r="AQ28" i="15"/>
  <c r="AR28" i="15"/>
  <c r="AS28" i="15"/>
  <c r="AT28" i="15"/>
  <c r="AU28" i="15"/>
  <c r="AV28" i="15"/>
  <c r="AW28" i="15"/>
  <c r="AX28" i="15"/>
  <c r="AY28" i="15"/>
  <c r="AZ28" i="15"/>
  <c r="BA28" i="15"/>
  <c r="BB28" i="15"/>
  <c r="BC28" i="15"/>
  <c r="BD28" i="15"/>
  <c r="BE28" i="15"/>
  <c r="BF28" i="15"/>
  <c r="BG28" i="15"/>
  <c r="BH28" i="15"/>
  <c r="BI28" i="15"/>
  <c r="BJ28" i="15"/>
  <c r="BK28" i="15"/>
  <c r="BL28" i="15"/>
  <c r="BM28" i="15"/>
  <c r="BN28" i="15"/>
  <c r="BO28" i="15"/>
  <c r="BP28" i="15"/>
  <c r="BQ28" i="15"/>
  <c r="BR28" i="15"/>
  <c r="BS28" i="15"/>
  <c r="BT28" i="15"/>
  <c r="BU28" i="15"/>
  <c r="BV28" i="15"/>
  <c r="BW28" i="15"/>
  <c r="BX28" i="15"/>
  <c r="BY28" i="15"/>
  <c r="BZ28" i="15"/>
  <c r="CA28" i="15"/>
  <c r="CB28" i="15"/>
  <c r="CC28" i="15"/>
  <c r="CD28" i="15"/>
  <c r="CE28" i="15"/>
  <c r="CF28" i="15"/>
  <c r="CG28" i="15"/>
  <c r="CH28" i="15"/>
  <c r="CI28" i="15"/>
  <c r="CJ28" i="15"/>
  <c r="CK28" i="15"/>
  <c r="CL28" i="15"/>
  <c r="CM28" i="15"/>
  <c r="CN28" i="15"/>
  <c r="CO28" i="15"/>
  <c r="CP28" i="15"/>
  <c r="CQ28" i="15"/>
  <c r="CR28" i="15"/>
  <c r="CS28" i="15"/>
  <c r="CT28" i="15"/>
  <c r="CU28" i="15"/>
  <c r="CV28" i="15"/>
  <c r="CW28" i="15"/>
  <c r="CX28" i="15"/>
  <c r="CY28" i="15"/>
  <c r="CZ28" i="15"/>
  <c r="DA28" i="15"/>
  <c r="DB28" i="15"/>
  <c r="DC28" i="15"/>
  <c r="DD28" i="15"/>
  <c r="DE28" i="15"/>
  <c r="DF28" i="15"/>
  <c r="DG28" i="15"/>
  <c r="DH28" i="15"/>
  <c r="DI28" i="15"/>
  <c r="DJ28" i="15"/>
  <c r="DK28" i="15"/>
  <c r="DL28" i="15"/>
  <c r="DM28" i="15"/>
  <c r="DN28" i="15"/>
  <c r="DO28" i="15"/>
  <c r="DP28" i="15"/>
  <c r="DQ28" i="15"/>
  <c r="DR28" i="15"/>
  <c r="DS28" i="15"/>
  <c r="DT28" i="15"/>
  <c r="DU28" i="15"/>
  <c r="DV28" i="15"/>
  <c r="DW28" i="15"/>
  <c r="DX28" i="15"/>
  <c r="DY28" i="15"/>
  <c r="DZ28" i="15"/>
  <c r="EA28" i="15"/>
  <c r="EB28" i="15"/>
  <c r="EC28" i="15"/>
  <c r="ED28" i="15"/>
  <c r="EE28" i="15"/>
  <c r="EF28" i="15"/>
  <c r="EG28" i="15"/>
  <c r="EH28" i="15"/>
  <c r="EI28" i="15"/>
  <c r="EJ28" i="15"/>
  <c r="EK28" i="15"/>
  <c r="EL28" i="15"/>
  <c r="EM28" i="15"/>
  <c r="EN28" i="15"/>
  <c r="EO28" i="15"/>
  <c r="EP28" i="15"/>
  <c r="EQ28" i="15"/>
  <c r="ER28" i="15"/>
  <c r="ES28" i="15"/>
  <c r="ET28" i="15"/>
  <c r="EU28" i="15"/>
  <c r="EV28" i="15"/>
  <c r="EW28" i="15"/>
  <c r="EX28" i="15"/>
  <c r="EY28" i="15"/>
  <c r="EZ28" i="15"/>
  <c r="FA28" i="15"/>
  <c r="FB28" i="15"/>
  <c r="FC28" i="15"/>
  <c r="FD28" i="15"/>
  <c r="FE28" i="15"/>
  <c r="FF28" i="15"/>
  <c r="FG28" i="15"/>
  <c r="FH28" i="15"/>
  <c r="FI28" i="15"/>
  <c r="FJ28" i="15"/>
  <c r="FK28" i="15"/>
  <c r="FL28" i="15"/>
  <c r="FM28" i="15"/>
  <c r="FN28" i="15"/>
  <c r="FO28" i="15"/>
  <c r="FP28" i="15"/>
  <c r="FQ28" i="15"/>
  <c r="FR28" i="15"/>
  <c r="FS28" i="15"/>
  <c r="FT28" i="15"/>
  <c r="FU28" i="15"/>
  <c r="FV28" i="15"/>
  <c r="FW28" i="15"/>
  <c r="FX28" i="15"/>
  <c r="FY28" i="15"/>
  <c r="FZ28" i="15"/>
  <c r="GA28" i="15"/>
  <c r="GB28" i="15"/>
  <c r="GC28" i="15"/>
  <c r="GD28" i="15"/>
  <c r="GE28" i="15"/>
  <c r="GF28" i="15"/>
  <c r="GG28" i="15"/>
  <c r="GH28" i="15"/>
  <c r="GI28" i="15"/>
  <c r="GJ28" i="15"/>
  <c r="GK28" i="15"/>
  <c r="GL28" i="15"/>
  <c r="GM28" i="15"/>
  <c r="GN28" i="15"/>
  <c r="GO28" i="15"/>
  <c r="GP28" i="15"/>
  <c r="GQ28" i="15"/>
  <c r="GR28" i="15"/>
  <c r="GS28" i="15"/>
  <c r="GT28" i="15"/>
  <c r="GU28" i="15"/>
  <c r="GV28" i="15"/>
  <c r="GW28" i="15"/>
  <c r="GX28" i="15"/>
  <c r="GY28" i="15"/>
  <c r="GZ28" i="15"/>
  <c r="HA28" i="15"/>
  <c r="HB28" i="15"/>
  <c r="HC28" i="15"/>
  <c r="HD28" i="15"/>
  <c r="HE28" i="15"/>
  <c r="HF28" i="15"/>
  <c r="HG28" i="15"/>
  <c r="HH28" i="15"/>
  <c r="HI28" i="15"/>
  <c r="HJ28" i="15"/>
  <c r="HK28" i="15"/>
  <c r="HL28" i="15"/>
  <c r="HM28" i="15"/>
  <c r="HN28" i="15"/>
  <c r="HO28" i="15"/>
  <c r="HP28" i="15"/>
  <c r="HQ28" i="15"/>
  <c r="HR28" i="15"/>
  <c r="HS28" i="15"/>
  <c r="HT28" i="15"/>
  <c r="HU28" i="15"/>
  <c r="HV28" i="15"/>
  <c r="HW28" i="15"/>
  <c r="HX28" i="15"/>
  <c r="HY28" i="15"/>
  <c r="HZ28" i="15"/>
  <c r="IA28" i="15"/>
  <c r="IB28" i="15"/>
  <c r="IC28" i="15"/>
  <c r="ID28" i="15"/>
  <c r="IE28" i="15"/>
  <c r="IF28" i="15"/>
  <c r="IG28" i="15"/>
  <c r="IH28" i="15"/>
  <c r="II28" i="15"/>
  <c r="IJ28" i="15"/>
  <c r="IK28" i="15"/>
  <c r="IL28" i="15"/>
  <c r="IM28" i="15"/>
  <c r="IN28" i="15"/>
  <c r="IO28" i="15"/>
  <c r="IP28" i="15"/>
  <c r="IQ28" i="15"/>
  <c r="IR28" i="15"/>
  <c r="IS28" i="15"/>
  <c r="IT28" i="15"/>
  <c r="IU28" i="15"/>
  <c r="IV28" i="15"/>
  <c r="A29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C29" i="15"/>
  <c r="AD29" i="15"/>
  <c r="AE29" i="15"/>
  <c r="AF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AS29" i="15"/>
  <c r="AT29" i="15"/>
  <c r="AU29" i="15"/>
  <c r="AV29" i="15"/>
  <c r="AW29" i="15"/>
  <c r="AX29" i="15"/>
  <c r="AY29" i="15"/>
  <c r="AZ29" i="15"/>
  <c r="BA29" i="15"/>
  <c r="BB29" i="15"/>
  <c r="BC29" i="15"/>
  <c r="BD29" i="15"/>
  <c r="BE29" i="15"/>
  <c r="BF29" i="15"/>
  <c r="BG29" i="15"/>
  <c r="BH29" i="15"/>
  <c r="BI29" i="15"/>
  <c r="BJ29" i="15"/>
  <c r="BK29" i="15"/>
  <c r="BL29" i="15"/>
  <c r="BM29" i="15"/>
  <c r="BN29" i="15"/>
  <c r="BO29" i="15"/>
  <c r="BP29" i="15"/>
  <c r="BQ29" i="15"/>
  <c r="BR29" i="15"/>
  <c r="BS29" i="15"/>
  <c r="BT29" i="15"/>
  <c r="BU29" i="15"/>
  <c r="BV29" i="15"/>
  <c r="BW29" i="15"/>
  <c r="BX29" i="15"/>
  <c r="BY29" i="15"/>
  <c r="BZ29" i="15"/>
  <c r="CA29" i="15"/>
  <c r="CB29" i="15"/>
  <c r="CC29" i="15"/>
  <c r="CD29" i="15"/>
  <c r="CE29" i="15"/>
  <c r="CF29" i="15"/>
  <c r="CG29" i="15"/>
  <c r="CH29" i="15"/>
  <c r="CI29" i="15"/>
  <c r="CJ29" i="15"/>
  <c r="CK29" i="15"/>
  <c r="CL29" i="15"/>
  <c r="CM29" i="15"/>
  <c r="CN29" i="15"/>
  <c r="CO29" i="15"/>
  <c r="CP29" i="15"/>
  <c r="CQ29" i="15"/>
  <c r="CR29" i="15"/>
  <c r="CS29" i="15"/>
  <c r="CT29" i="15"/>
  <c r="CU29" i="15"/>
  <c r="CV29" i="15"/>
  <c r="CW29" i="15"/>
  <c r="CX29" i="15"/>
  <c r="CY29" i="15"/>
  <c r="CZ29" i="15"/>
  <c r="DA29" i="15"/>
  <c r="DB29" i="15"/>
  <c r="DC29" i="15"/>
  <c r="DD29" i="15"/>
  <c r="DE29" i="15"/>
  <c r="DF29" i="15"/>
  <c r="DG29" i="15"/>
  <c r="DH29" i="15"/>
  <c r="DI29" i="15"/>
  <c r="DJ29" i="15"/>
  <c r="DK29" i="15"/>
  <c r="DL29" i="15"/>
  <c r="DM29" i="15"/>
  <c r="DN29" i="15"/>
  <c r="DO29" i="15"/>
  <c r="DP29" i="15"/>
  <c r="DQ29" i="15"/>
  <c r="DR29" i="15"/>
  <c r="DS29" i="15"/>
  <c r="DT29" i="15"/>
  <c r="DU29" i="15"/>
  <c r="DV29" i="15"/>
  <c r="DW29" i="15"/>
  <c r="DX29" i="15"/>
  <c r="DY29" i="15"/>
  <c r="DZ29" i="15"/>
  <c r="EA29" i="15"/>
  <c r="EB29" i="15"/>
  <c r="EC29" i="15"/>
  <c r="ED29" i="15"/>
  <c r="EE29" i="15"/>
  <c r="EF29" i="15"/>
  <c r="EG29" i="15"/>
  <c r="EH29" i="15"/>
  <c r="EI29" i="15"/>
  <c r="EJ29" i="15"/>
  <c r="EK29" i="15"/>
  <c r="EL29" i="15"/>
  <c r="EM29" i="15"/>
  <c r="EN29" i="15"/>
  <c r="EO29" i="15"/>
  <c r="EP29" i="15"/>
  <c r="EQ29" i="15"/>
  <c r="ER29" i="15"/>
  <c r="ES29" i="15"/>
  <c r="ET29" i="15"/>
  <c r="EU29" i="15"/>
  <c r="EV29" i="15"/>
  <c r="EW29" i="15"/>
  <c r="EX29" i="15"/>
  <c r="EY29" i="15"/>
  <c r="EZ29" i="15"/>
  <c r="FA29" i="15"/>
  <c r="FB29" i="15"/>
  <c r="FC29" i="15"/>
  <c r="FD29" i="15"/>
  <c r="FE29" i="15"/>
  <c r="FF29" i="15"/>
  <c r="FG29" i="15"/>
  <c r="FH29" i="15"/>
  <c r="FI29" i="15"/>
  <c r="FJ29" i="15"/>
  <c r="FK29" i="15"/>
  <c r="FL29" i="15"/>
  <c r="FM29" i="15"/>
  <c r="FN29" i="15"/>
  <c r="FO29" i="15"/>
  <c r="FP29" i="15"/>
  <c r="FQ29" i="15"/>
  <c r="FR29" i="15"/>
  <c r="FS29" i="15"/>
  <c r="FT29" i="15"/>
  <c r="FU29" i="15"/>
  <c r="FV29" i="15"/>
  <c r="FW29" i="15"/>
  <c r="FX29" i="15"/>
  <c r="FY29" i="15"/>
  <c r="FZ29" i="15"/>
  <c r="GA29" i="15"/>
  <c r="GB29" i="15"/>
  <c r="GC29" i="15"/>
  <c r="GD29" i="15"/>
  <c r="GE29" i="15"/>
  <c r="GF29" i="15"/>
  <c r="GG29" i="15"/>
  <c r="GH29" i="15"/>
  <c r="GI29" i="15"/>
  <c r="GJ29" i="15"/>
  <c r="GK29" i="15"/>
  <c r="GL29" i="15"/>
  <c r="GM29" i="15"/>
  <c r="GN29" i="15"/>
  <c r="GO29" i="15"/>
  <c r="GP29" i="15"/>
  <c r="GQ29" i="15"/>
  <c r="GR29" i="15"/>
  <c r="GS29" i="15"/>
  <c r="GT29" i="15"/>
  <c r="GU29" i="15"/>
  <c r="GV29" i="15"/>
  <c r="GW29" i="15"/>
  <c r="GX29" i="15"/>
  <c r="GY29" i="15"/>
  <c r="GZ29" i="15"/>
  <c r="HA29" i="15"/>
  <c r="HB29" i="15"/>
  <c r="HC29" i="15"/>
  <c r="HD29" i="15"/>
  <c r="HE29" i="15"/>
  <c r="HF29" i="15"/>
  <c r="HG29" i="15"/>
  <c r="HH29" i="15"/>
  <c r="HI29" i="15"/>
  <c r="HJ29" i="15"/>
  <c r="HK29" i="15"/>
  <c r="HL29" i="15"/>
  <c r="HM29" i="15"/>
  <c r="HN29" i="15"/>
  <c r="HO29" i="15"/>
  <c r="HP29" i="15"/>
  <c r="HQ29" i="15"/>
  <c r="HR29" i="15"/>
  <c r="HS29" i="15"/>
  <c r="HT29" i="15"/>
  <c r="HU29" i="15"/>
  <c r="HV29" i="15"/>
  <c r="HW29" i="15"/>
  <c r="HX29" i="15"/>
  <c r="HY29" i="15"/>
  <c r="HZ29" i="15"/>
  <c r="IA29" i="15"/>
  <c r="IB29" i="15"/>
  <c r="IC29" i="15"/>
  <c r="ID29" i="15"/>
  <c r="IE29" i="15"/>
  <c r="IF29" i="15"/>
  <c r="IG29" i="15"/>
  <c r="IH29" i="15"/>
  <c r="II29" i="15"/>
  <c r="IJ29" i="15"/>
  <c r="IK29" i="15"/>
  <c r="IL29" i="15"/>
  <c r="IM29" i="15"/>
  <c r="IN29" i="15"/>
  <c r="IO29" i="15"/>
  <c r="IP29" i="15"/>
  <c r="IQ29" i="15"/>
  <c r="IR29" i="15"/>
  <c r="IS29" i="15"/>
  <c r="IT29" i="15"/>
  <c r="IU29" i="15"/>
  <c r="IV29" i="15"/>
  <c r="A30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Q30" i="15"/>
  <c r="R30" i="15"/>
  <c r="S30" i="15"/>
  <c r="T30" i="15"/>
  <c r="U30" i="15"/>
  <c r="V30" i="15"/>
  <c r="W30" i="15"/>
  <c r="X30" i="15"/>
  <c r="Y30" i="15"/>
  <c r="Z30" i="15"/>
  <c r="AA30" i="15"/>
  <c r="AB30" i="15"/>
  <c r="AC30" i="15"/>
  <c r="AD30" i="15"/>
  <c r="AE30" i="15"/>
  <c r="AF30" i="15"/>
  <c r="AG30" i="15"/>
  <c r="AH30" i="15"/>
  <c r="AI30" i="15"/>
  <c r="AJ30" i="15"/>
  <c r="AK30" i="15"/>
  <c r="AL30" i="15"/>
  <c r="AM30" i="15"/>
  <c r="AN30" i="15"/>
  <c r="AO30" i="15"/>
  <c r="AP30" i="15"/>
  <c r="AQ30" i="15"/>
  <c r="AR30" i="15"/>
  <c r="AS30" i="15"/>
  <c r="AT30" i="15"/>
  <c r="AU30" i="15"/>
  <c r="AV30" i="15"/>
  <c r="AW30" i="15"/>
  <c r="AX30" i="15"/>
  <c r="AY30" i="15"/>
  <c r="AZ30" i="15"/>
  <c r="BA30" i="15"/>
  <c r="BB30" i="15"/>
  <c r="BC30" i="15"/>
  <c r="BD30" i="15"/>
  <c r="BE30" i="15"/>
  <c r="BF30" i="15"/>
  <c r="BG30" i="15"/>
  <c r="BH30" i="15"/>
  <c r="BI30" i="15"/>
  <c r="BJ30" i="15"/>
  <c r="BK30" i="15"/>
  <c r="BL30" i="15"/>
  <c r="BM30" i="15"/>
  <c r="BN30" i="15"/>
  <c r="BO30" i="15"/>
  <c r="BP30" i="15"/>
  <c r="BQ30" i="15"/>
  <c r="BR30" i="15"/>
  <c r="BS30" i="15"/>
  <c r="BT30" i="15"/>
  <c r="BU30" i="15"/>
  <c r="BV30" i="15"/>
  <c r="BW30" i="15"/>
  <c r="BX30" i="15"/>
  <c r="BY30" i="15"/>
  <c r="BZ30" i="15"/>
  <c r="CA30" i="15"/>
  <c r="CB30" i="15"/>
  <c r="CC30" i="15"/>
  <c r="CD30" i="15"/>
  <c r="CE30" i="15"/>
  <c r="CF30" i="15"/>
  <c r="CG30" i="15"/>
  <c r="CH30" i="15"/>
  <c r="CI30" i="15"/>
  <c r="CJ30" i="15"/>
  <c r="CK30" i="15"/>
  <c r="CL30" i="15"/>
  <c r="CM30" i="15"/>
  <c r="CN30" i="15"/>
  <c r="CO30" i="15"/>
  <c r="CP30" i="15"/>
  <c r="CQ30" i="15"/>
  <c r="CR30" i="15"/>
  <c r="CS30" i="15"/>
  <c r="CT30" i="15"/>
  <c r="CU30" i="15"/>
  <c r="CV30" i="15"/>
  <c r="CW30" i="15"/>
  <c r="CX30" i="15"/>
  <c r="CY30" i="15"/>
  <c r="CZ30" i="15"/>
  <c r="DA30" i="15"/>
  <c r="DB30" i="15"/>
  <c r="DC30" i="15"/>
  <c r="DD30" i="15"/>
  <c r="DE30" i="15"/>
  <c r="DF30" i="15"/>
  <c r="DG30" i="15"/>
  <c r="DH30" i="15"/>
  <c r="DI30" i="15"/>
  <c r="DJ30" i="15"/>
  <c r="DK30" i="15"/>
  <c r="DL30" i="15"/>
  <c r="DM30" i="15"/>
  <c r="DN30" i="15"/>
  <c r="DO30" i="15"/>
  <c r="DP30" i="15"/>
  <c r="DQ30" i="15"/>
  <c r="DR30" i="15"/>
  <c r="DS30" i="15"/>
  <c r="DT30" i="15"/>
  <c r="DU30" i="15"/>
  <c r="DV30" i="15"/>
  <c r="DW30" i="15"/>
  <c r="DX30" i="15"/>
  <c r="DY30" i="15"/>
  <c r="DZ30" i="15"/>
  <c r="EA30" i="15"/>
  <c r="EB30" i="15"/>
  <c r="EC30" i="15"/>
  <c r="ED30" i="15"/>
  <c r="EE30" i="15"/>
  <c r="EF30" i="15"/>
  <c r="EG30" i="15"/>
  <c r="EH30" i="15"/>
  <c r="EI30" i="15"/>
  <c r="EJ30" i="15"/>
  <c r="EK30" i="15"/>
  <c r="EL30" i="15"/>
  <c r="EM30" i="15"/>
  <c r="EN30" i="15"/>
  <c r="EO30" i="15"/>
  <c r="EP30" i="15"/>
  <c r="EQ30" i="15"/>
  <c r="ER30" i="15"/>
  <c r="ES30" i="15"/>
  <c r="ET30" i="15"/>
  <c r="EU30" i="15"/>
  <c r="EV30" i="15"/>
  <c r="EW30" i="15"/>
  <c r="EX30" i="15"/>
  <c r="EY30" i="15"/>
  <c r="EZ30" i="15"/>
  <c r="FA30" i="15"/>
  <c r="FB30" i="15"/>
  <c r="FC30" i="15"/>
  <c r="FD30" i="15"/>
  <c r="FE30" i="15"/>
  <c r="FF30" i="15"/>
  <c r="FG30" i="15"/>
  <c r="FH30" i="15"/>
  <c r="FI30" i="15"/>
  <c r="FJ30" i="15"/>
  <c r="FK30" i="15"/>
  <c r="FL30" i="15"/>
  <c r="FM30" i="15"/>
  <c r="FN30" i="15"/>
  <c r="FO30" i="15"/>
  <c r="FP30" i="15"/>
  <c r="FQ30" i="15"/>
  <c r="FR30" i="15"/>
  <c r="FS30" i="15"/>
  <c r="FT30" i="15"/>
  <c r="FU30" i="15"/>
  <c r="FV30" i="15"/>
  <c r="FW30" i="15"/>
  <c r="FX30" i="15"/>
  <c r="FY30" i="15"/>
  <c r="FZ30" i="15"/>
  <c r="GA30" i="15"/>
  <c r="GB30" i="15"/>
  <c r="GC30" i="15"/>
  <c r="GD30" i="15"/>
  <c r="GE30" i="15"/>
  <c r="GF30" i="15"/>
  <c r="GG30" i="15"/>
  <c r="GH30" i="15"/>
  <c r="GI30" i="15"/>
  <c r="GJ30" i="15"/>
  <c r="GK30" i="15"/>
  <c r="GL30" i="15"/>
  <c r="GM30" i="15"/>
  <c r="GN30" i="15"/>
  <c r="GO30" i="15"/>
  <c r="GP30" i="15"/>
  <c r="GQ30" i="15"/>
  <c r="GR30" i="15"/>
  <c r="GS30" i="15"/>
  <c r="GT30" i="15"/>
  <c r="GU30" i="15"/>
  <c r="GV30" i="15"/>
  <c r="GW30" i="15"/>
  <c r="GX30" i="15"/>
  <c r="GY30" i="15"/>
  <c r="GZ30" i="15"/>
  <c r="HA30" i="15"/>
  <c r="HB30" i="15"/>
  <c r="HC30" i="15"/>
  <c r="HD30" i="15"/>
  <c r="HE30" i="15"/>
  <c r="HF30" i="15"/>
  <c r="HG30" i="15"/>
  <c r="HH30" i="15"/>
  <c r="HI30" i="15"/>
  <c r="HJ30" i="15"/>
  <c r="HK30" i="15"/>
  <c r="HL30" i="15"/>
  <c r="HM30" i="15"/>
  <c r="HN30" i="15"/>
  <c r="HO30" i="15"/>
  <c r="HP30" i="15"/>
  <c r="HQ30" i="15"/>
  <c r="HR30" i="15"/>
  <c r="HS30" i="15"/>
  <c r="HT30" i="15"/>
  <c r="HU30" i="15"/>
  <c r="HV30" i="15"/>
  <c r="HW30" i="15"/>
  <c r="HX30" i="15"/>
  <c r="HY30" i="15"/>
  <c r="HZ30" i="15"/>
  <c r="IA30" i="15"/>
  <c r="IB30" i="15"/>
  <c r="IC30" i="15"/>
  <c r="ID30" i="15"/>
  <c r="IE30" i="15"/>
  <c r="IF30" i="15"/>
  <c r="IG30" i="15"/>
  <c r="IH30" i="15"/>
  <c r="II30" i="15"/>
  <c r="IJ30" i="15"/>
  <c r="IK30" i="15"/>
  <c r="IL30" i="15"/>
  <c r="IM30" i="15"/>
  <c r="IN30" i="15"/>
  <c r="IO30" i="15"/>
  <c r="IP30" i="15"/>
  <c r="IQ30" i="15"/>
  <c r="IR30" i="15"/>
  <c r="IS30" i="15"/>
  <c r="IT30" i="15"/>
  <c r="IU30" i="15"/>
  <c r="IV30" i="15"/>
  <c r="A31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Y31" i="15"/>
  <c r="Z31" i="15"/>
  <c r="AA31" i="15"/>
  <c r="AB31" i="15"/>
  <c r="AC31" i="15"/>
  <c r="AD31" i="15"/>
  <c r="AE31" i="15"/>
  <c r="AF31" i="15"/>
  <c r="AG31" i="15"/>
  <c r="AH31" i="15"/>
  <c r="AI31" i="15"/>
  <c r="AJ31" i="15"/>
  <c r="AK31" i="15"/>
  <c r="AL31" i="15"/>
  <c r="AM31" i="15"/>
  <c r="AN31" i="15"/>
  <c r="AO31" i="15"/>
  <c r="AP31" i="15"/>
  <c r="AQ31" i="15"/>
  <c r="AR31" i="15"/>
  <c r="AS31" i="15"/>
  <c r="AT31" i="15"/>
  <c r="AU31" i="15"/>
  <c r="AV31" i="15"/>
  <c r="AW31" i="15"/>
  <c r="AX31" i="15"/>
  <c r="AY31" i="15"/>
  <c r="AZ31" i="15"/>
  <c r="BA31" i="15"/>
  <c r="BB31" i="15"/>
  <c r="BC31" i="15"/>
  <c r="BD31" i="15"/>
  <c r="BE31" i="15"/>
  <c r="BF31" i="15"/>
  <c r="BG31" i="15"/>
  <c r="BH31" i="15"/>
  <c r="BI31" i="15"/>
  <c r="BJ31" i="15"/>
  <c r="BK31" i="15"/>
  <c r="BL31" i="15"/>
  <c r="BM31" i="15"/>
  <c r="BN31" i="15"/>
  <c r="BO31" i="15"/>
  <c r="BP31" i="15"/>
  <c r="BQ31" i="15"/>
  <c r="BR31" i="15"/>
  <c r="BS31" i="15"/>
  <c r="BT31" i="15"/>
  <c r="BU31" i="15"/>
  <c r="BV31" i="15"/>
  <c r="BW31" i="15"/>
  <c r="BX31" i="15"/>
  <c r="BY31" i="15"/>
  <c r="BZ31" i="15"/>
  <c r="CA31" i="15"/>
  <c r="CB31" i="15"/>
  <c r="CC31" i="15"/>
  <c r="CD31" i="15"/>
  <c r="CE31" i="15"/>
  <c r="CF31" i="15"/>
  <c r="CG31" i="15"/>
  <c r="CH31" i="15"/>
  <c r="CI31" i="15"/>
  <c r="CJ31" i="15"/>
  <c r="CK31" i="15"/>
  <c r="CL31" i="15"/>
  <c r="CM31" i="15"/>
  <c r="CN31" i="15"/>
  <c r="CO31" i="15"/>
  <c r="CP31" i="15"/>
  <c r="CQ31" i="15"/>
  <c r="CR31" i="15"/>
  <c r="CS31" i="15"/>
  <c r="CT31" i="15"/>
  <c r="CU31" i="15"/>
  <c r="CV31" i="15"/>
  <c r="CW31" i="15"/>
  <c r="CX31" i="15"/>
  <c r="CY31" i="15"/>
  <c r="CZ31" i="15"/>
  <c r="DA31" i="15"/>
  <c r="DB31" i="15"/>
  <c r="DC31" i="15"/>
  <c r="DD31" i="15"/>
  <c r="DE31" i="15"/>
  <c r="DF31" i="15"/>
  <c r="DG31" i="15"/>
  <c r="DH31" i="15"/>
  <c r="DI31" i="15"/>
  <c r="DJ31" i="15"/>
  <c r="DK31" i="15"/>
  <c r="DL31" i="15"/>
  <c r="DM31" i="15"/>
  <c r="DN31" i="15"/>
  <c r="DO31" i="15"/>
  <c r="DP31" i="15"/>
  <c r="DQ31" i="15"/>
  <c r="DR31" i="15"/>
  <c r="DS31" i="15"/>
  <c r="DT31" i="15"/>
  <c r="DU31" i="15"/>
  <c r="DV31" i="15"/>
  <c r="DW31" i="15"/>
  <c r="DX31" i="15"/>
  <c r="DY31" i="15"/>
  <c r="DZ31" i="15"/>
  <c r="EA31" i="15"/>
  <c r="EB31" i="15"/>
  <c r="EC31" i="15"/>
  <c r="ED31" i="15"/>
  <c r="EE31" i="15"/>
  <c r="EF31" i="15"/>
  <c r="EG31" i="15"/>
  <c r="EH31" i="15"/>
  <c r="EI31" i="15"/>
  <c r="EJ31" i="15"/>
  <c r="EK31" i="15"/>
  <c r="EL31" i="15"/>
  <c r="EM31" i="15"/>
  <c r="EN31" i="15"/>
  <c r="EO31" i="15"/>
  <c r="EP31" i="15"/>
  <c r="EQ31" i="15"/>
  <c r="ER31" i="15"/>
  <c r="ES31" i="15"/>
  <c r="ET31" i="15"/>
  <c r="EU31" i="15"/>
  <c r="EV31" i="15"/>
  <c r="EW31" i="15"/>
  <c r="EX31" i="15"/>
  <c r="EY31" i="15"/>
  <c r="EZ31" i="15"/>
  <c r="FA31" i="15"/>
  <c r="FB31" i="15"/>
  <c r="FC31" i="15"/>
  <c r="FD31" i="15"/>
  <c r="FE31" i="15"/>
  <c r="FF31" i="15"/>
  <c r="FG31" i="15"/>
  <c r="FH31" i="15"/>
  <c r="FI31" i="15"/>
  <c r="FJ31" i="15"/>
  <c r="FK31" i="15"/>
  <c r="FL31" i="15"/>
  <c r="FM31" i="15"/>
  <c r="FN31" i="15"/>
  <c r="FO31" i="15"/>
  <c r="FP31" i="15"/>
  <c r="FQ31" i="15"/>
  <c r="FR31" i="15"/>
  <c r="FS31" i="15"/>
  <c r="FT31" i="15"/>
  <c r="FU31" i="15"/>
  <c r="FV31" i="15"/>
  <c r="FW31" i="15"/>
  <c r="FX31" i="15"/>
  <c r="FY31" i="15"/>
  <c r="FZ31" i="15"/>
  <c r="GA31" i="15"/>
  <c r="GB31" i="15"/>
  <c r="GC31" i="15"/>
  <c r="GD31" i="15"/>
  <c r="GE31" i="15"/>
  <c r="GF31" i="15"/>
  <c r="GG31" i="15"/>
  <c r="GH31" i="15"/>
  <c r="GI31" i="15"/>
  <c r="GJ31" i="15"/>
  <c r="GK31" i="15"/>
  <c r="GL31" i="15"/>
  <c r="GM31" i="15"/>
  <c r="GN31" i="15"/>
  <c r="GO31" i="15"/>
  <c r="GP31" i="15"/>
  <c r="GQ31" i="15"/>
  <c r="GR31" i="15"/>
  <c r="GS31" i="15"/>
  <c r="GT31" i="15"/>
  <c r="GU31" i="15"/>
  <c r="GV31" i="15"/>
  <c r="GW31" i="15"/>
  <c r="GX31" i="15"/>
  <c r="GY31" i="15"/>
  <c r="GZ31" i="15"/>
  <c r="HA31" i="15"/>
  <c r="HB31" i="15"/>
  <c r="HC31" i="15"/>
  <c r="HD31" i="15"/>
  <c r="HE31" i="15"/>
  <c r="HF31" i="15"/>
  <c r="HG31" i="15"/>
  <c r="HH31" i="15"/>
  <c r="HI31" i="15"/>
  <c r="HJ31" i="15"/>
  <c r="HK31" i="15"/>
  <c r="HL31" i="15"/>
  <c r="HM31" i="15"/>
  <c r="HN31" i="15"/>
  <c r="HO31" i="15"/>
  <c r="HP31" i="15"/>
  <c r="HQ31" i="15"/>
  <c r="HR31" i="15"/>
  <c r="HS31" i="15"/>
  <c r="HT31" i="15"/>
  <c r="HU31" i="15"/>
  <c r="HV31" i="15"/>
  <c r="HW31" i="15"/>
  <c r="HX31" i="15"/>
  <c r="HY31" i="15"/>
  <c r="HZ31" i="15"/>
  <c r="IA31" i="15"/>
  <c r="IB31" i="15"/>
  <c r="IC31" i="15"/>
  <c r="ID31" i="15"/>
  <c r="IE31" i="15"/>
  <c r="IF31" i="15"/>
  <c r="IG31" i="15"/>
  <c r="IH31" i="15"/>
  <c r="II31" i="15"/>
  <c r="IJ31" i="15"/>
  <c r="IK31" i="15"/>
  <c r="IL31" i="15"/>
  <c r="IM31" i="15"/>
  <c r="IN31" i="15"/>
  <c r="IO31" i="15"/>
  <c r="IP31" i="15"/>
  <c r="IQ31" i="15"/>
  <c r="IR31" i="15"/>
  <c r="IS31" i="15"/>
  <c r="IT31" i="15"/>
  <c r="IU31" i="15"/>
  <c r="IV31" i="15"/>
  <c r="A32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Y32" i="15"/>
  <c r="Z32" i="15"/>
  <c r="AA32" i="15"/>
  <c r="AB32" i="15"/>
  <c r="AC32" i="15"/>
  <c r="AD32" i="15"/>
  <c r="AE32" i="15"/>
  <c r="AF32" i="15"/>
  <c r="AG32" i="15"/>
  <c r="AH32" i="15"/>
  <c r="AI32" i="15"/>
  <c r="AJ32" i="15"/>
  <c r="AK32" i="15"/>
  <c r="AL32" i="15"/>
  <c r="AM32" i="15"/>
  <c r="AN32" i="15"/>
  <c r="AO32" i="15"/>
  <c r="AP32" i="15"/>
  <c r="AQ32" i="15"/>
  <c r="AR32" i="15"/>
  <c r="AS32" i="15"/>
  <c r="AT32" i="15"/>
  <c r="AU32" i="15"/>
  <c r="AV32" i="15"/>
  <c r="AW32" i="15"/>
  <c r="AX32" i="15"/>
  <c r="AY32" i="15"/>
  <c r="AZ32" i="15"/>
  <c r="BA32" i="15"/>
  <c r="BB32" i="15"/>
  <c r="BC32" i="15"/>
  <c r="BD32" i="15"/>
  <c r="BE32" i="15"/>
  <c r="BF32" i="15"/>
  <c r="BG32" i="15"/>
  <c r="BH32" i="15"/>
  <c r="BI32" i="15"/>
  <c r="BJ32" i="15"/>
  <c r="BK32" i="15"/>
  <c r="BL32" i="15"/>
  <c r="BM32" i="15"/>
  <c r="BN32" i="15"/>
  <c r="BO32" i="15"/>
  <c r="BP32" i="15"/>
  <c r="BQ32" i="15"/>
  <c r="BR32" i="15"/>
  <c r="BS32" i="15"/>
  <c r="BT32" i="15"/>
  <c r="BU32" i="15"/>
  <c r="BV32" i="15"/>
  <c r="BW32" i="15"/>
  <c r="BX32" i="15"/>
  <c r="BY32" i="15"/>
  <c r="BZ32" i="15"/>
  <c r="CA32" i="15"/>
  <c r="CB32" i="15"/>
  <c r="CC32" i="15"/>
  <c r="CD32" i="15"/>
  <c r="CE32" i="15"/>
  <c r="CF32" i="15"/>
  <c r="CG32" i="15"/>
  <c r="CH32" i="15"/>
  <c r="CI32" i="15"/>
  <c r="CJ32" i="15"/>
  <c r="CK32" i="15"/>
  <c r="CL32" i="15"/>
  <c r="CM32" i="15"/>
  <c r="CN32" i="15"/>
  <c r="CO32" i="15"/>
  <c r="CP32" i="15"/>
  <c r="CQ32" i="15"/>
  <c r="CR32" i="15"/>
  <c r="CS32" i="15"/>
  <c r="CT32" i="15"/>
  <c r="CU32" i="15"/>
  <c r="CV32" i="15"/>
  <c r="CW32" i="15"/>
  <c r="CX32" i="15"/>
  <c r="CY32" i="15"/>
  <c r="CZ32" i="15"/>
  <c r="DA32" i="15"/>
  <c r="DB32" i="15"/>
  <c r="DC32" i="15"/>
  <c r="DD32" i="15"/>
  <c r="DE32" i="15"/>
  <c r="DF32" i="15"/>
  <c r="DG32" i="15"/>
  <c r="DH32" i="15"/>
  <c r="DI32" i="15"/>
  <c r="DJ32" i="15"/>
  <c r="DK32" i="15"/>
  <c r="DL32" i="15"/>
  <c r="DM32" i="15"/>
  <c r="DN32" i="15"/>
  <c r="DO32" i="15"/>
  <c r="DP32" i="15"/>
  <c r="DQ32" i="15"/>
  <c r="DR32" i="15"/>
  <c r="DS32" i="15"/>
  <c r="DT32" i="15"/>
  <c r="DU32" i="15"/>
  <c r="DV32" i="15"/>
  <c r="DW32" i="15"/>
  <c r="DX32" i="15"/>
  <c r="DY32" i="15"/>
  <c r="DZ32" i="15"/>
  <c r="EA32" i="15"/>
  <c r="EB32" i="15"/>
  <c r="EC32" i="15"/>
  <c r="ED32" i="15"/>
  <c r="EE32" i="15"/>
  <c r="EF32" i="15"/>
  <c r="EG32" i="15"/>
  <c r="EH32" i="15"/>
  <c r="EI32" i="15"/>
  <c r="EJ32" i="15"/>
  <c r="EK32" i="15"/>
  <c r="EL32" i="15"/>
  <c r="EM32" i="15"/>
  <c r="EN32" i="15"/>
  <c r="EO32" i="15"/>
  <c r="EP32" i="15"/>
  <c r="EQ32" i="15"/>
  <c r="ER32" i="15"/>
  <c r="ES32" i="15"/>
  <c r="ET32" i="15"/>
  <c r="EU32" i="15"/>
  <c r="EV32" i="15"/>
  <c r="EW32" i="15"/>
  <c r="EX32" i="15"/>
  <c r="EY32" i="15"/>
  <c r="EZ32" i="15"/>
  <c r="FA32" i="15"/>
  <c r="FB32" i="15"/>
  <c r="FC32" i="15"/>
  <c r="FD32" i="15"/>
  <c r="FE32" i="15"/>
  <c r="FF32" i="15"/>
  <c r="FG32" i="15"/>
  <c r="FH32" i="15"/>
  <c r="FI32" i="15"/>
  <c r="FJ32" i="15"/>
  <c r="FK32" i="15"/>
  <c r="FL32" i="15"/>
  <c r="FM32" i="15"/>
  <c r="FN32" i="15"/>
  <c r="FO32" i="15"/>
  <c r="FP32" i="15"/>
  <c r="FQ32" i="15"/>
  <c r="FR32" i="15"/>
  <c r="FS32" i="15"/>
  <c r="FT32" i="15"/>
  <c r="FU32" i="15"/>
  <c r="FV32" i="15"/>
  <c r="FW32" i="15"/>
  <c r="FX32" i="15"/>
  <c r="FY32" i="15"/>
  <c r="FZ32" i="15"/>
  <c r="GA32" i="15"/>
  <c r="GB32" i="15"/>
  <c r="GC32" i="15"/>
  <c r="GD32" i="15"/>
  <c r="GE32" i="15"/>
  <c r="GF32" i="15"/>
  <c r="GG32" i="15"/>
  <c r="GH32" i="15"/>
  <c r="GI32" i="15"/>
  <c r="GJ32" i="15"/>
  <c r="GK32" i="15"/>
  <c r="GL32" i="15"/>
  <c r="GM32" i="15"/>
  <c r="GN32" i="15"/>
  <c r="GO32" i="15"/>
  <c r="GP32" i="15"/>
  <c r="GQ32" i="15"/>
  <c r="GR32" i="15"/>
  <c r="GS32" i="15"/>
  <c r="GT32" i="15"/>
  <c r="GU32" i="15"/>
  <c r="GV32" i="15"/>
  <c r="GW32" i="15"/>
  <c r="GX32" i="15"/>
  <c r="GY32" i="15"/>
  <c r="GZ32" i="15"/>
  <c r="HA32" i="15"/>
  <c r="HB32" i="15"/>
  <c r="HC32" i="15"/>
  <c r="HD32" i="15"/>
  <c r="HE32" i="15"/>
  <c r="HF32" i="15"/>
  <c r="HG32" i="15"/>
  <c r="HH32" i="15"/>
  <c r="HI32" i="15"/>
  <c r="HJ32" i="15"/>
  <c r="HK32" i="15"/>
  <c r="HL32" i="15"/>
  <c r="HM32" i="15"/>
  <c r="HN32" i="15"/>
  <c r="HO32" i="15"/>
  <c r="HP32" i="15"/>
  <c r="HQ32" i="15"/>
  <c r="HR32" i="15"/>
  <c r="HS32" i="15"/>
  <c r="HT32" i="15"/>
  <c r="HU32" i="15"/>
  <c r="HV32" i="15"/>
  <c r="HW32" i="15"/>
  <c r="HX32" i="15"/>
  <c r="HY32" i="15"/>
  <c r="HZ32" i="15"/>
  <c r="IA32" i="15"/>
  <c r="IB32" i="15"/>
  <c r="IC32" i="15"/>
  <c r="ID32" i="15"/>
  <c r="IE32" i="15"/>
  <c r="IF32" i="15"/>
  <c r="IG32" i="15"/>
  <c r="IH32" i="15"/>
  <c r="II32" i="15"/>
  <c r="IJ32" i="15"/>
  <c r="IK32" i="15"/>
  <c r="IL32" i="15"/>
  <c r="IM32" i="15"/>
  <c r="IN32" i="15"/>
  <c r="IO32" i="15"/>
  <c r="IP32" i="15"/>
  <c r="IQ32" i="15"/>
  <c r="IR32" i="15"/>
  <c r="IS32" i="15"/>
  <c r="IT32" i="15"/>
  <c r="IU32" i="15"/>
  <c r="IV32" i="15"/>
  <c r="A33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33" i="15"/>
  <c r="Z33" i="15"/>
  <c r="AA33" i="15"/>
  <c r="AB33" i="15"/>
  <c r="AC33" i="15"/>
  <c r="AD33" i="15"/>
  <c r="AE33" i="15"/>
  <c r="AF33" i="15"/>
  <c r="AG33" i="15"/>
  <c r="AH33" i="15"/>
  <c r="AI33" i="15"/>
  <c r="AJ33" i="15"/>
  <c r="AK33" i="15"/>
  <c r="AL33" i="15"/>
  <c r="AM33" i="15"/>
  <c r="AN33" i="15"/>
  <c r="AO33" i="15"/>
  <c r="AP33" i="15"/>
  <c r="AQ33" i="15"/>
  <c r="AR33" i="15"/>
  <c r="AS33" i="15"/>
  <c r="AT33" i="15"/>
  <c r="AU33" i="15"/>
  <c r="AV33" i="15"/>
  <c r="AW33" i="15"/>
  <c r="AX33" i="15"/>
  <c r="AY33" i="15"/>
  <c r="AZ33" i="15"/>
  <c r="BA33" i="15"/>
  <c r="BB33" i="15"/>
  <c r="BC33" i="15"/>
  <c r="BD33" i="15"/>
  <c r="BE33" i="15"/>
  <c r="BF33" i="15"/>
  <c r="BG33" i="15"/>
  <c r="BH33" i="15"/>
  <c r="BI33" i="15"/>
  <c r="BJ33" i="15"/>
  <c r="BK33" i="15"/>
  <c r="BL33" i="15"/>
  <c r="BM33" i="15"/>
  <c r="BN33" i="15"/>
  <c r="BO33" i="15"/>
  <c r="BP33" i="15"/>
  <c r="BQ33" i="15"/>
  <c r="BR33" i="15"/>
  <c r="BS33" i="15"/>
  <c r="BT33" i="15"/>
  <c r="BU33" i="15"/>
  <c r="BV33" i="15"/>
  <c r="BW33" i="15"/>
  <c r="BX33" i="15"/>
  <c r="BY33" i="15"/>
  <c r="BZ33" i="15"/>
  <c r="CA33" i="15"/>
  <c r="CB33" i="15"/>
  <c r="CC33" i="15"/>
  <c r="CD33" i="15"/>
  <c r="CE33" i="15"/>
  <c r="CF33" i="15"/>
  <c r="CG33" i="15"/>
  <c r="CH33" i="15"/>
  <c r="CI33" i="15"/>
  <c r="CJ33" i="15"/>
  <c r="CK33" i="15"/>
  <c r="CL33" i="15"/>
  <c r="CM33" i="15"/>
  <c r="CN33" i="15"/>
  <c r="CO33" i="15"/>
  <c r="CP33" i="15"/>
  <c r="CQ33" i="15"/>
  <c r="CR33" i="15"/>
  <c r="CS33" i="15"/>
  <c r="CT33" i="15"/>
  <c r="CU33" i="15"/>
  <c r="CV33" i="15"/>
  <c r="CW33" i="15"/>
  <c r="CX33" i="15"/>
  <c r="CY33" i="15"/>
  <c r="CZ33" i="15"/>
  <c r="DA33" i="15"/>
  <c r="DB33" i="15"/>
  <c r="DC33" i="15"/>
  <c r="DD33" i="15"/>
  <c r="DE33" i="15"/>
  <c r="DF33" i="15"/>
  <c r="DG33" i="15"/>
  <c r="DH33" i="15"/>
  <c r="DI33" i="15"/>
  <c r="DJ33" i="15"/>
  <c r="DK33" i="15"/>
  <c r="DL33" i="15"/>
  <c r="DM33" i="15"/>
  <c r="DN33" i="15"/>
  <c r="DO33" i="15"/>
  <c r="DP33" i="15"/>
  <c r="DQ33" i="15"/>
  <c r="DR33" i="15"/>
  <c r="DS33" i="15"/>
  <c r="DT33" i="15"/>
  <c r="DU33" i="15"/>
  <c r="DV33" i="15"/>
  <c r="DW33" i="15"/>
  <c r="DX33" i="15"/>
  <c r="DY33" i="15"/>
  <c r="DZ33" i="15"/>
  <c r="EA33" i="15"/>
  <c r="EB33" i="15"/>
  <c r="EC33" i="15"/>
  <c r="ED33" i="15"/>
  <c r="EE33" i="15"/>
  <c r="EF33" i="15"/>
  <c r="EG33" i="15"/>
  <c r="EH33" i="15"/>
  <c r="EI33" i="15"/>
  <c r="EJ33" i="15"/>
  <c r="EK33" i="15"/>
  <c r="EL33" i="15"/>
  <c r="EM33" i="15"/>
  <c r="EN33" i="15"/>
  <c r="EO33" i="15"/>
  <c r="EP33" i="15"/>
  <c r="EQ33" i="15"/>
  <c r="ER33" i="15"/>
  <c r="ES33" i="15"/>
  <c r="ET33" i="15"/>
  <c r="EU33" i="15"/>
  <c r="EV33" i="15"/>
  <c r="EW33" i="15"/>
  <c r="EX33" i="15"/>
  <c r="EY33" i="15"/>
  <c r="EZ33" i="15"/>
  <c r="FA33" i="15"/>
  <c r="FB33" i="15"/>
  <c r="FC33" i="15"/>
  <c r="FD33" i="15"/>
  <c r="FE33" i="15"/>
  <c r="FF33" i="15"/>
  <c r="FG33" i="15"/>
  <c r="FH33" i="15"/>
  <c r="FI33" i="15"/>
  <c r="FJ33" i="15"/>
  <c r="FK33" i="15"/>
  <c r="FL33" i="15"/>
  <c r="FM33" i="15"/>
  <c r="FN33" i="15"/>
  <c r="FO33" i="15"/>
  <c r="FP33" i="15"/>
  <c r="FQ33" i="15"/>
  <c r="FR33" i="15"/>
  <c r="FS33" i="15"/>
  <c r="FT33" i="15"/>
  <c r="FU33" i="15"/>
  <c r="FV33" i="15"/>
  <c r="FW33" i="15"/>
  <c r="FX33" i="15"/>
  <c r="FY33" i="15"/>
  <c r="FZ33" i="15"/>
  <c r="GA33" i="15"/>
  <c r="GB33" i="15"/>
  <c r="GC33" i="15"/>
  <c r="GD33" i="15"/>
  <c r="GE33" i="15"/>
  <c r="GF33" i="15"/>
  <c r="GG33" i="15"/>
  <c r="GH33" i="15"/>
  <c r="GI33" i="15"/>
  <c r="GJ33" i="15"/>
  <c r="GK33" i="15"/>
  <c r="GL33" i="15"/>
  <c r="GM33" i="15"/>
  <c r="GN33" i="15"/>
  <c r="GO33" i="15"/>
  <c r="GP33" i="15"/>
  <c r="GQ33" i="15"/>
  <c r="GR33" i="15"/>
  <c r="GS33" i="15"/>
  <c r="GT33" i="15"/>
  <c r="GU33" i="15"/>
  <c r="GV33" i="15"/>
  <c r="GW33" i="15"/>
  <c r="GX33" i="15"/>
  <c r="GY33" i="15"/>
  <c r="GZ33" i="15"/>
  <c r="HA33" i="15"/>
  <c r="HB33" i="15"/>
  <c r="HC33" i="15"/>
  <c r="HD33" i="15"/>
  <c r="HE33" i="15"/>
  <c r="HF33" i="15"/>
  <c r="HG33" i="15"/>
  <c r="HH33" i="15"/>
  <c r="HI33" i="15"/>
  <c r="HJ33" i="15"/>
  <c r="HK33" i="15"/>
  <c r="HL33" i="15"/>
  <c r="HM33" i="15"/>
  <c r="HN33" i="15"/>
  <c r="HO33" i="15"/>
  <c r="HP33" i="15"/>
  <c r="HQ33" i="15"/>
  <c r="HR33" i="15"/>
  <c r="HS33" i="15"/>
  <c r="HT33" i="15"/>
  <c r="HU33" i="15"/>
  <c r="HV33" i="15"/>
  <c r="HW33" i="15"/>
  <c r="HX33" i="15"/>
  <c r="HY33" i="15"/>
  <c r="HZ33" i="15"/>
  <c r="IA33" i="15"/>
  <c r="IB33" i="15"/>
  <c r="IC33" i="15"/>
  <c r="ID33" i="15"/>
  <c r="IE33" i="15"/>
  <c r="IF33" i="15"/>
  <c r="IG33" i="15"/>
  <c r="IH33" i="15"/>
  <c r="II33" i="15"/>
  <c r="IJ33" i="15"/>
  <c r="IK33" i="15"/>
  <c r="IL33" i="15"/>
  <c r="IM33" i="15"/>
  <c r="IN33" i="15"/>
  <c r="IO33" i="15"/>
  <c r="IP33" i="15"/>
  <c r="IQ33" i="15"/>
  <c r="IR33" i="15"/>
  <c r="IS33" i="15"/>
  <c r="IT33" i="15"/>
  <c r="IU33" i="15"/>
  <c r="IV33" i="15"/>
  <c r="A34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S34" i="15"/>
  <c r="T34" i="15"/>
  <c r="U34" i="15"/>
  <c r="V34" i="15"/>
  <c r="W34" i="15"/>
  <c r="X34" i="15"/>
  <c r="Y34" i="15"/>
  <c r="Z34" i="15"/>
  <c r="AA34" i="15"/>
  <c r="AB34" i="15"/>
  <c r="AC34" i="15"/>
  <c r="AD34" i="15"/>
  <c r="AE34" i="15"/>
  <c r="AF34" i="15"/>
  <c r="AG34" i="15"/>
  <c r="AH34" i="15"/>
  <c r="AI34" i="15"/>
  <c r="AJ34" i="15"/>
  <c r="AK34" i="15"/>
  <c r="AL34" i="15"/>
  <c r="AM34" i="15"/>
  <c r="AN34" i="15"/>
  <c r="AO34" i="15"/>
  <c r="AP34" i="15"/>
  <c r="AQ34" i="15"/>
  <c r="AR34" i="15"/>
  <c r="AS34" i="15"/>
  <c r="AT34" i="15"/>
  <c r="AU34" i="15"/>
  <c r="AV34" i="15"/>
  <c r="AW34" i="15"/>
  <c r="AX34" i="15"/>
  <c r="AY34" i="15"/>
  <c r="AZ34" i="15"/>
  <c r="BA34" i="15"/>
  <c r="BB34" i="15"/>
  <c r="BC34" i="15"/>
  <c r="BD34" i="15"/>
  <c r="BE34" i="15"/>
  <c r="BF34" i="15"/>
  <c r="BG34" i="15"/>
  <c r="BH34" i="15"/>
  <c r="BI34" i="15"/>
  <c r="BJ34" i="15"/>
  <c r="BK34" i="15"/>
  <c r="BL34" i="15"/>
  <c r="BM34" i="15"/>
  <c r="BN34" i="15"/>
  <c r="BO34" i="15"/>
  <c r="BP34" i="15"/>
  <c r="BQ34" i="15"/>
  <c r="BR34" i="15"/>
  <c r="BS34" i="15"/>
  <c r="BT34" i="15"/>
  <c r="BU34" i="15"/>
  <c r="BV34" i="15"/>
  <c r="BW34" i="15"/>
  <c r="BX34" i="15"/>
  <c r="BY34" i="15"/>
  <c r="BZ34" i="15"/>
  <c r="CA34" i="15"/>
  <c r="CB34" i="15"/>
  <c r="CC34" i="15"/>
  <c r="CD34" i="15"/>
  <c r="CE34" i="15"/>
  <c r="CF34" i="15"/>
  <c r="CG34" i="15"/>
  <c r="CH34" i="15"/>
  <c r="CI34" i="15"/>
  <c r="CJ34" i="15"/>
  <c r="CK34" i="15"/>
  <c r="CL34" i="15"/>
  <c r="CM34" i="15"/>
  <c r="CN34" i="15"/>
  <c r="CO34" i="15"/>
  <c r="CP34" i="15"/>
  <c r="CQ34" i="15"/>
  <c r="CR34" i="15"/>
  <c r="CS34" i="15"/>
  <c r="CT34" i="15"/>
  <c r="CU34" i="15"/>
  <c r="CV34" i="15"/>
  <c r="CW34" i="15"/>
  <c r="CX34" i="15"/>
  <c r="CY34" i="15"/>
  <c r="CZ34" i="15"/>
  <c r="DA34" i="15"/>
  <c r="DB34" i="15"/>
  <c r="DC34" i="15"/>
  <c r="DD34" i="15"/>
  <c r="DE34" i="15"/>
  <c r="DF34" i="15"/>
  <c r="DG34" i="15"/>
  <c r="DH34" i="15"/>
  <c r="DI34" i="15"/>
  <c r="DJ34" i="15"/>
  <c r="DK34" i="15"/>
  <c r="DL34" i="15"/>
  <c r="DM34" i="15"/>
  <c r="DN34" i="15"/>
  <c r="DO34" i="15"/>
  <c r="DP34" i="15"/>
  <c r="DQ34" i="15"/>
  <c r="DR34" i="15"/>
  <c r="DS34" i="15"/>
  <c r="DT34" i="15"/>
  <c r="DU34" i="15"/>
  <c r="DV34" i="15"/>
  <c r="DW34" i="15"/>
  <c r="DX34" i="15"/>
  <c r="DY34" i="15"/>
  <c r="DZ34" i="15"/>
  <c r="EA34" i="15"/>
  <c r="EB34" i="15"/>
  <c r="EC34" i="15"/>
  <c r="ED34" i="15"/>
  <c r="EE34" i="15"/>
  <c r="EF34" i="15"/>
  <c r="EG34" i="15"/>
  <c r="EH34" i="15"/>
  <c r="EI34" i="15"/>
  <c r="EJ34" i="15"/>
  <c r="EK34" i="15"/>
  <c r="EL34" i="15"/>
  <c r="EM34" i="15"/>
  <c r="EN34" i="15"/>
  <c r="EO34" i="15"/>
  <c r="EP34" i="15"/>
  <c r="EQ34" i="15"/>
  <c r="ER34" i="15"/>
  <c r="ES34" i="15"/>
  <c r="ET34" i="15"/>
  <c r="EU34" i="15"/>
  <c r="EV34" i="15"/>
  <c r="EW34" i="15"/>
  <c r="EX34" i="15"/>
  <c r="EY34" i="15"/>
  <c r="EZ34" i="15"/>
  <c r="FA34" i="15"/>
  <c r="FB34" i="15"/>
  <c r="FC34" i="15"/>
  <c r="FD34" i="15"/>
  <c r="FE34" i="15"/>
  <c r="FF34" i="15"/>
  <c r="FG34" i="15"/>
  <c r="FH34" i="15"/>
  <c r="FI34" i="15"/>
  <c r="FJ34" i="15"/>
  <c r="FK34" i="15"/>
  <c r="FL34" i="15"/>
  <c r="FM34" i="15"/>
  <c r="FN34" i="15"/>
  <c r="FO34" i="15"/>
  <c r="FP34" i="15"/>
  <c r="FQ34" i="15"/>
  <c r="FR34" i="15"/>
  <c r="FS34" i="15"/>
  <c r="FT34" i="15"/>
  <c r="FU34" i="15"/>
  <c r="FV34" i="15"/>
  <c r="FW34" i="15"/>
  <c r="FX34" i="15"/>
  <c r="FY34" i="15"/>
  <c r="FZ34" i="15"/>
  <c r="GA34" i="15"/>
  <c r="GB34" i="15"/>
  <c r="GC34" i="15"/>
  <c r="GD34" i="15"/>
  <c r="GE34" i="15"/>
  <c r="GF34" i="15"/>
  <c r="GG34" i="15"/>
  <c r="GH34" i="15"/>
  <c r="GI34" i="15"/>
  <c r="GJ34" i="15"/>
  <c r="GK34" i="15"/>
  <c r="GL34" i="15"/>
  <c r="GM34" i="15"/>
  <c r="GN34" i="15"/>
  <c r="GO34" i="15"/>
  <c r="GP34" i="15"/>
  <c r="GQ34" i="15"/>
  <c r="GR34" i="15"/>
  <c r="GS34" i="15"/>
  <c r="GT34" i="15"/>
  <c r="GU34" i="15"/>
  <c r="GV34" i="15"/>
  <c r="GW34" i="15"/>
  <c r="GX34" i="15"/>
  <c r="GY34" i="15"/>
  <c r="GZ34" i="15"/>
  <c r="HA34" i="15"/>
  <c r="HB34" i="15"/>
  <c r="HC34" i="15"/>
  <c r="HD34" i="15"/>
  <c r="HE34" i="15"/>
  <c r="HF34" i="15"/>
  <c r="HG34" i="15"/>
  <c r="HH34" i="15"/>
  <c r="HI34" i="15"/>
  <c r="HJ34" i="15"/>
  <c r="HK34" i="15"/>
  <c r="HL34" i="15"/>
  <c r="HM34" i="15"/>
  <c r="HN34" i="15"/>
  <c r="HO34" i="15"/>
  <c r="HP34" i="15"/>
  <c r="HQ34" i="15"/>
  <c r="HR34" i="15"/>
  <c r="HS34" i="15"/>
  <c r="HT34" i="15"/>
  <c r="HU34" i="15"/>
  <c r="HV34" i="15"/>
  <c r="HW34" i="15"/>
  <c r="HX34" i="15"/>
  <c r="HY34" i="15"/>
  <c r="HZ34" i="15"/>
  <c r="IA34" i="15"/>
  <c r="IB34" i="15"/>
  <c r="IC34" i="15"/>
  <c r="ID34" i="15"/>
  <c r="IE34" i="15"/>
  <c r="IF34" i="15"/>
  <c r="IG34" i="15"/>
  <c r="IH34" i="15"/>
  <c r="II34" i="15"/>
  <c r="IJ34" i="15"/>
  <c r="IK34" i="15"/>
  <c r="IL34" i="15"/>
  <c r="IM34" i="15"/>
  <c r="IN34" i="15"/>
  <c r="IO34" i="15"/>
  <c r="IP34" i="15"/>
  <c r="IQ34" i="15"/>
  <c r="IR34" i="15"/>
  <c r="IS34" i="15"/>
  <c r="IT34" i="15"/>
  <c r="IU34" i="15"/>
  <c r="IV34" i="15"/>
  <c r="A35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S35" i="15"/>
  <c r="T35" i="15"/>
  <c r="U35" i="15"/>
  <c r="V35" i="15"/>
  <c r="W35" i="15"/>
  <c r="X35" i="15"/>
  <c r="Y35" i="15"/>
  <c r="Z35" i="15"/>
  <c r="AA35" i="15"/>
  <c r="AB35" i="15"/>
  <c r="AC35" i="15"/>
  <c r="AD35" i="15"/>
  <c r="AE35" i="15"/>
  <c r="AF35" i="15"/>
  <c r="AG35" i="15"/>
  <c r="AH35" i="15"/>
  <c r="AI35" i="15"/>
  <c r="AJ35" i="15"/>
  <c r="AK35" i="15"/>
  <c r="AL35" i="15"/>
  <c r="AM35" i="15"/>
  <c r="AN35" i="15"/>
  <c r="AO35" i="15"/>
  <c r="AP35" i="15"/>
  <c r="AQ35" i="15"/>
  <c r="AR35" i="15"/>
  <c r="AS35" i="15"/>
  <c r="AT35" i="15"/>
  <c r="AU35" i="15"/>
  <c r="AV35" i="15"/>
  <c r="AW35" i="15"/>
  <c r="AX35" i="15"/>
  <c r="AY35" i="15"/>
  <c r="AZ35" i="15"/>
  <c r="BA35" i="15"/>
  <c r="BB35" i="15"/>
  <c r="BC35" i="15"/>
  <c r="BD35" i="15"/>
  <c r="BE35" i="15"/>
  <c r="BF35" i="15"/>
  <c r="BG35" i="15"/>
  <c r="BH35" i="15"/>
  <c r="BI35" i="15"/>
  <c r="BJ35" i="15"/>
  <c r="BK35" i="15"/>
  <c r="BL35" i="15"/>
  <c r="BM35" i="15"/>
  <c r="BN35" i="15"/>
  <c r="BO35" i="15"/>
  <c r="BP35" i="15"/>
  <c r="BQ35" i="15"/>
  <c r="BR35" i="15"/>
  <c r="BS35" i="15"/>
  <c r="BT35" i="15"/>
  <c r="BU35" i="15"/>
  <c r="BV35" i="15"/>
  <c r="BW35" i="15"/>
  <c r="BX35" i="15"/>
  <c r="BY35" i="15"/>
  <c r="BZ35" i="15"/>
  <c r="CA35" i="15"/>
  <c r="CB35" i="15"/>
  <c r="CC35" i="15"/>
  <c r="CD35" i="15"/>
  <c r="CE35" i="15"/>
  <c r="CF35" i="15"/>
  <c r="CG35" i="15"/>
  <c r="CH35" i="15"/>
  <c r="CI35" i="15"/>
  <c r="CJ35" i="15"/>
  <c r="CK35" i="15"/>
  <c r="CL35" i="15"/>
  <c r="CM35" i="15"/>
  <c r="CN35" i="15"/>
  <c r="CO35" i="15"/>
  <c r="CP35" i="15"/>
  <c r="CQ35" i="15"/>
  <c r="CR35" i="15"/>
  <c r="CS35" i="15"/>
  <c r="CT35" i="15"/>
  <c r="CU35" i="15"/>
  <c r="CV35" i="15"/>
  <c r="CW35" i="15"/>
  <c r="CX35" i="15"/>
  <c r="CY35" i="15"/>
  <c r="CZ35" i="15"/>
  <c r="DA35" i="15"/>
  <c r="DB35" i="15"/>
  <c r="DC35" i="15"/>
  <c r="DD35" i="15"/>
  <c r="DE35" i="15"/>
  <c r="DF35" i="15"/>
  <c r="DG35" i="15"/>
  <c r="DH35" i="15"/>
  <c r="DI35" i="15"/>
  <c r="DJ35" i="15"/>
  <c r="DK35" i="15"/>
  <c r="DL35" i="15"/>
  <c r="DM35" i="15"/>
  <c r="DN35" i="15"/>
  <c r="DO35" i="15"/>
  <c r="DP35" i="15"/>
  <c r="DQ35" i="15"/>
  <c r="DR35" i="15"/>
  <c r="DS35" i="15"/>
  <c r="DT35" i="15"/>
  <c r="DU35" i="15"/>
  <c r="DV35" i="15"/>
  <c r="DW35" i="15"/>
  <c r="DX35" i="15"/>
  <c r="DY35" i="15"/>
  <c r="DZ35" i="15"/>
  <c r="EA35" i="15"/>
  <c r="EB35" i="15"/>
  <c r="EC35" i="15"/>
  <c r="ED35" i="15"/>
  <c r="EE35" i="15"/>
  <c r="EF35" i="15"/>
  <c r="EG35" i="15"/>
  <c r="EH35" i="15"/>
  <c r="EI35" i="15"/>
  <c r="EJ35" i="15"/>
  <c r="EK35" i="15"/>
  <c r="EL35" i="15"/>
  <c r="EM35" i="15"/>
  <c r="EN35" i="15"/>
  <c r="EO35" i="15"/>
  <c r="EP35" i="15"/>
  <c r="EQ35" i="15"/>
  <c r="ER35" i="15"/>
  <c r="ES35" i="15"/>
  <c r="ET35" i="15"/>
  <c r="EU35" i="15"/>
  <c r="EV35" i="15"/>
  <c r="EW35" i="15"/>
  <c r="EX35" i="15"/>
  <c r="EY35" i="15"/>
  <c r="EZ35" i="15"/>
  <c r="FA35" i="15"/>
  <c r="FB35" i="15"/>
  <c r="FC35" i="15"/>
  <c r="FD35" i="15"/>
  <c r="FE35" i="15"/>
  <c r="FF35" i="15"/>
  <c r="FG35" i="15"/>
  <c r="FH35" i="15"/>
  <c r="FI35" i="15"/>
  <c r="FJ35" i="15"/>
  <c r="FK35" i="15"/>
  <c r="FL35" i="15"/>
  <c r="FM35" i="15"/>
  <c r="FN35" i="15"/>
  <c r="FO35" i="15"/>
  <c r="FP35" i="15"/>
  <c r="FQ35" i="15"/>
  <c r="FR35" i="15"/>
  <c r="FS35" i="15"/>
  <c r="FT35" i="15"/>
  <c r="FU35" i="15"/>
  <c r="FV35" i="15"/>
  <c r="FW35" i="15"/>
  <c r="FX35" i="15"/>
  <c r="FY35" i="15"/>
  <c r="FZ35" i="15"/>
  <c r="GA35" i="15"/>
  <c r="GB35" i="15"/>
  <c r="GC35" i="15"/>
  <c r="GD35" i="15"/>
  <c r="GE35" i="15"/>
  <c r="GF35" i="15"/>
  <c r="GG35" i="15"/>
  <c r="GH35" i="15"/>
  <c r="GI35" i="15"/>
  <c r="GJ35" i="15"/>
  <c r="GK35" i="15"/>
  <c r="GL35" i="15"/>
  <c r="GM35" i="15"/>
  <c r="GN35" i="15"/>
  <c r="GO35" i="15"/>
  <c r="GP35" i="15"/>
  <c r="GQ35" i="15"/>
  <c r="GR35" i="15"/>
  <c r="GS35" i="15"/>
  <c r="GT35" i="15"/>
  <c r="GU35" i="15"/>
  <c r="GV35" i="15"/>
  <c r="GW35" i="15"/>
  <c r="GX35" i="15"/>
  <c r="GY35" i="15"/>
  <c r="GZ35" i="15"/>
  <c r="HA35" i="15"/>
  <c r="HB35" i="15"/>
  <c r="HC35" i="15"/>
  <c r="HD35" i="15"/>
  <c r="HE35" i="15"/>
  <c r="HF35" i="15"/>
  <c r="HG35" i="15"/>
  <c r="HH35" i="15"/>
  <c r="HI35" i="15"/>
  <c r="HJ35" i="15"/>
  <c r="HK35" i="15"/>
  <c r="HL35" i="15"/>
  <c r="HM35" i="15"/>
  <c r="HN35" i="15"/>
  <c r="HO35" i="15"/>
  <c r="HP35" i="15"/>
  <c r="HQ35" i="15"/>
  <c r="HR35" i="15"/>
  <c r="HS35" i="15"/>
  <c r="HT35" i="15"/>
  <c r="HU35" i="15"/>
  <c r="HV35" i="15"/>
  <c r="HW35" i="15"/>
  <c r="HX35" i="15"/>
  <c r="HY35" i="15"/>
  <c r="HZ35" i="15"/>
  <c r="IA35" i="15"/>
  <c r="IB35" i="15"/>
  <c r="IC35" i="15"/>
  <c r="ID35" i="15"/>
  <c r="IE35" i="15"/>
  <c r="IF35" i="15"/>
  <c r="IG35" i="15"/>
  <c r="IH35" i="15"/>
  <c r="II35" i="15"/>
  <c r="IJ35" i="15"/>
  <c r="IK35" i="15"/>
  <c r="IL35" i="15"/>
  <c r="IM35" i="15"/>
  <c r="IN35" i="15"/>
  <c r="IO35" i="15"/>
  <c r="IP35" i="15"/>
  <c r="IQ35" i="15"/>
  <c r="IR35" i="15"/>
  <c r="IS35" i="15"/>
  <c r="IT35" i="15"/>
  <c r="IU35" i="15"/>
  <c r="IV35" i="15"/>
  <c r="A36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S36" i="15"/>
  <c r="T36" i="15"/>
  <c r="U36" i="15"/>
  <c r="V36" i="15"/>
  <c r="W36" i="15"/>
  <c r="X36" i="15"/>
  <c r="Y36" i="15"/>
  <c r="Z36" i="15"/>
  <c r="AA36" i="15"/>
  <c r="AB36" i="15"/>
  <c r="AC36" i="15"/>
  <c r="AD36" i="15"/>
  <c r="AE36" i="15"/>
  <c r="AF36" i="15"/>
  <c r="AG36" i="15"/>
  <c r="AH36" i="15"/>
  <c r="AI36" i="15"/>
  <c r="AJ36" i="15"/>
  <c r="AK36" i="15"/>
  <c r="AL36" i="15"/>
  <c r="AM36" i="15"/>
  <c r="AN36" i="15"/>
  <c r="AO36" i="15"/>
  <c r="AP36" i="15"/>
  <c r="AQ36" i="15"/>
  <c r="AR36" i="15"/>
  <c r="AS36" i="15"/>
  <c r="AT36" i="15"/>
  <c r="AU36" i="15"/>
  <c r="AV36" i="15"/>
  <c r="AW36" i="15"/>
  <c r="AX36" i="15"/>
  <c r="AY36" i="15"/>
  <c r="AZ36" i="15"/>
  <c r="BA36" i="15"/>
  <c r="BB36" i="15"/>
  <c r="BC36" i="15"/>
  <c r="BD36" i="15"/>
  <c r="BE36" i="15"/>
  <c r="BF36" i="15"/>
  <c r="BG36" i="15"/>
  <c r="BH36" i="15"/>
  <c r="BI36" i="15"/>
  <c r="BJ36" i="15"/>
  <c r="BK36" i="15"/>
  <c r="BL36" i="15"/>
  <c r="BM36" i="15"/>
  <c r="BN36" i="15"/>
  <c r="BO36" i="15"/>
  <c r="BP36" i="15"/>
  <c r="BQ36" i="15"/>
  <c r="BR36" i="15"/>
  <c r="BS36" i="15"/>
  <c r="BT36" i="15"/>
  <c r="BU36" i="15"/>
  <c r="BV36" i="15"/>
  <c r="BW36" i="15"/>
  <c r="BX36" i="15"/>
  <c r="BY36" i="15"/>
  <c r="BZ36" i="15"/>
  <c r="CA36" i="15"/>
  <c r="CB36" i="15"/>
  <c r="CC36" i="15"/>
  <c r="CD36" i="15"/>
  <c r="CE36" i="15"/>
  <c r="CF36" i="15"/>
  <c r="CG36" i="15"/>
  <c r="CH36" i="15"/>
  <c r="CI36" i="15"/>
  <c r="CJ36" i="15"/>
  <c r="CK36" i="15"/>
  <c r="CL36" i="15"/>
  <c r="CM36" i="15"/>
  <c r="CN36" i="15"/>
  <c r="CO36" i="15"/>
  <c r="CP36" i="15"/>
  <c r="CQ36" i="15"/>
  <c r="CR36" i="15"/>
  <c r="CS36" i="15"/>
  <c r="CT36" i="15"/>
  <c r="CU36" i="15"/>
  <c r="CV36" i="15"/>
  <c r="CW36" i="15"/>
  <c r="CX36" i="15"/>
  <c r="CY36" i="15"/>
  <c r="CZ36" i="15"/>
  <c r="DA36" i="15"/>
  <c r="DB36" i="15"/>
  <c r="DC36" i="15"/>
  <c r="DD36" i="15"/>
  <c r="DE36" i="15"/>
  <c r="DF36" i="15"/>
  <c r="DG36" i="15"/>
  <c r="DH36" i="15"/>
  <c r="DI36" i="15"/>
  <c r="DJ36" i="15"/>
  <c r="DK36" i="15"/>
  <c r="DL36" i="15"/>
  <c r="DM36" i="15"/>
  <c r="DN36" i="15"/>
  <c r="DO36" i="15"/>
  <c r="DP36" i="15"/>
  <c r="DQ36" i="15"/>
  <c r="DR36" i="15"/>
  <c r="DS36" i="15"/>
  <c r="DT36" i="15"/>
  <c r="DU36" i="15"/>
  <c r="DV36" i="15"/>
  <c r="DW36" i="15"/>
  <c r="DX36" i="15"/>
  <c r="DY36" i="15"/>
  <c r="DZ36" i="15"/>
  <c r="EA36" i="15"/>
  <c r="EB36" i="15"/>
  <c r="EC36" i="15"/>
  <c r="ED36" i="15"/>
  <c r="EE36" i="15"/>
  <c r="EF36" i="15"/>
  <c r="EG36" i="15"/>
  <c r="EH36" i="15"/>
  <c r="EI36" i="15"/>
  <c r="EJ36" i="15"/>
  <c r="EK36" i="15"/>
  <c r="EL36" i="15"/>
  <c r="EM36" i="15"/>
  <c r="EN36" i="15"/>
  <c r="EO36" i="15"/>
  <c r="EP36" i="15"/>
  <c r="EQ36" i="15"/>
  <c r="ER36" i="15"/>
  <c r="ES36" i="15"/>
  <c r="ET36" i="15"/>
  <c r="EU36" i="15"/>
  <c r="EV36" i="15"/>
  <c r="EW36" i="15"/>
  <c r="EX36" i="15"/>
  <c r="EY36" i="15"/>
  <c r="EZ36" i="15"/>
  <c r="FA36" i="15"/>
  <c r="FB36" i="15"/>
  <c r="FC36" i="15"/>
  <c r="FD36" i="15"/>
  <c r="FE36" i="15"/>
  <c r="FF36" i="15"/>
  <c r="FG36" i="15"/>
  <c r="FH36" i="15"/>
  <c r="FI36" i="15"/>
  <c r="FJ36" i="15"/>
  <c r="FK36" i="15"/>
  <c r="FL36" i="15"/>
  <c r="FM36" i="15"/>
  <c r="FN36" i="15"/>
  <c r="FO36" i="15"/>
  <c r="FP36" i="15"/>
  <c r="FQ36" i="15"/>
  <c r="FR36" i="15"/>
  <c r="FS36" i="15"/>
  <c r="FT36" i="15"/>
  <c r="FU36" i="15"/>
  <c r="FV36" i="15"/>
  <c r="FW36" i="15"/>
  <c r="FX36" i="15"/>
  <c r="FY36" i="15"/>
  <c r="FZ36" i="15"/>
  <c r="GA36" i="15"/>
  <c r="GB36" i="15"/>
  <c r="GC36" i="15"/>
  <c r="GD36" i="15"/>
  <c r="GE36" i="15"/>
  <c r="GF36" i="15"/>
  <c r="GG36" i="15"/>
  <c r="GH36" i="15"/>
  <c r="GI36" i="15"/>
  <c r="GJ36" i="15"/>
  <c r="GK36" i="15"/>
  <c r="GL36" i="15"/>
  <c r="GM36" i="15"/>
  <c r="GN36" i="15"/>
  <c r="GO36" i="15"/>
  <c r="GP36" i="15"/>
  <c r="GQ36" i="15"/>
  <c r="GR36" i="15"/>
  <c r="GS36" i="15"/>
  <c r="GT36" i="15"/>
  <c r="GU36" i="15"/>
  <c r="GV36" i="15"/>
  <c r="GW36" i="15"/>
  <c r="GX36" i="15"/>
  <c r="GY36" i="15"/>
  <c r="GZ36" i="15"/>
  <c r="HA36" i="15"/>
  <c r="HB36" i="15"/>
  <c r="HC36" i="15"/>
  <c r="HD36" i="15"/>
  <c r="HE36" i="15"/>
  <c r="HF36" i="15"/>
  <c r="HG36" i="15"/>
  <c r="HH36" i="15"/>
  <c r="HI36" i="15"/>
  <c r="HJ36" i="15"/>
  <c r="HK36" i="15"/>
  <c r="HL36" i="15"/>
  <c r="HM36" i="15"/>
  <c r="HN36" i="15"/>
  <c r="HO36" i="15"/>
  <c r="HP36" i="15"/>
  <c r="HQ36" i="15"/>
  <c r="HR36" i="15"/>
  <c r="HS36" i="15"/>
  <c r="HT36" i="15"/>
  <c r="HU36" i="15"/>
  <c r="HV36" i="15"/>
  <c r="HW36" i="15"/>
  <c r="HX36" i="15"/>
  <c r="HY36" i="15"/>
  <c r="HZ36" i="15"/>
  <c r="IA36" i="15"/>
  <c r="IB36" i="15"/>
  <c r="IC36" i="15"/>
  <c r="ID36" i="15"/>
  <c r="IE36" i="15"/>
  <c r="IF36" i="15"/>
  <c r="IG36" i="15"/>
  <c r="IH36" i="15"/>
  <c r="II36" i="15"/>
  <c r="IJ36" i="15"/>
  <c r="IK36" i="15"/>
  <c r="IL36" i="15"/>
  <c r="IM36" i="15"/>
  <c r="IN36" i="15"/>
  <c r="IO36" i="15"/>
  <c r="IP36" i="15"/>
  <c r="IQ36" i="15"/>
  <c r="IR36" i="15"/>
  <c r="IS36" i="15"/>
  <c r="IT36" i="15"/>
  <c r="IU36" i="15"/>
  <c r="IV36" i="15"/>
  <c r="A37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S37" i="15"/>
  <c r="T37" i="15"/>
  <c r="U37" i="15"/>
  <c r="V37" i="15"/>
  <c r="W37" i="15"/>
  <c r="X37" i="15"/>
  <c r="Y37" i="15"/>
  <c r="Z37" i="15"/>
  <c r="AA37" i="15"/>
  <c r="AB37" i="15"/>
  <c r="AC37" i="15"/>
  <c r="AD37" i="15"/>
  <c r="AE37" i="15"/>
  <c r="AF37" i="15"/>
  <c r="AG37" i="15"/>
  <c r="AH37" i="15"/>
  <c r="AI37" i="15"/>
  <c r="AJ37" i="15"/>
  <c r="AK37" i="15"/>
  <c r="AL37" i="15"/>
  <c r="AM37" i="15"/>
  <c r="AN37" i="15"/>
  <c r="AO37" i="15"/>
  <c r="AP37" i="15"/>
  <c r="AQ37" i="15"/>
  <c r="AR37" i="15"/>
  <c r="AS37" i="15"/>
  <c r="AT37" i="15"/>
  <c r="AU37" i="15"/>
  <c r="AV37" i="15"/>
  <c r="AW37" i="15"/>
  <c r="AX37" i="15"/>
  <c r="AY37" i="15"/>
  <c r="AZ37" i="15"/>
  <c r="BA37" i="15"/>
  <c r="BB37" i="15"/>
  <c r="BC37" i="15"/>
  <c r="BD37" i="15"/>
  <c r="BE37" i="15"/>
  <c r="BF37" i="15"/>
  <c r="BG37" i="15"/>
  <c r="BH37" i="15"/>
  <c r="BI37" i="15"/>
  <c r="BJ37" i="15"/>
  <c r="BK37" i="15"/>
  <c r="BL37" i="15"/>
  <c r="BM37" i="15"/>
  <c r="BN37" i="15"/>
  <c r="BO37" i="15"/>
  <c r="BP37" i="15"/>
  <c r="BQ37" i="15"/>
  <c r="BR37" i="15"/>
  <c r="BS37" i="15"/>
  <c r="BT37" i="15"/>
  <c r="BU37" i="15"/>
  <c r="BV37" i="15"/>
  <c r="BW37" i="15"/>
  <c r="BX37" i="15"/>
  <c r="BY37" i="15"/>
  <c r="BZ37" i="15"/>
  <c r="CA37" i="15"/>
  <c r="CB37" i="15"/>
  <c r="CC37" i="15"/>
  <c r="CD37" i="15"/>
  <c r="CE37" i="15"/>
  <c r="CF37" i="15"/>
  <c r="CG37" i="15"/>
  <c r="CH37" i="15"/>
  <c r="CI37" i="15"/>
  <c r="CJ37" i="15"/>
  <c r="CK37" i="15"/>
  <c r="CL37" i="15"/>
  <c r="CM37" i="15"/>
  <c r="CN37" i="15"/>
  <c r="CO37" i="15"/>
  <c r="CP37" i="15"/>
  <c r="CQ37" i="15"/>
  <c r="CR37" i="15"/>
  <c r="CS37" i="15"/>
  <c r="CT37" i="15"/>
  <c r="CU37" i="15"/>
  <c r="CV37" i="15"/>
  <c r="CW37" i="15"/>
  <c r="CX37" i="15"/>
  <c r="CY37" i="15"/>
  <c r="CZ37" i="15"/>
  <c r="DA37" i="15"/>
  <c r="DB37" i="15"/>
  <c r="DC37" i="15"/>
  <c r="DD37" i="15"/>
  <c r="DE37" i="15"/>
  <c r="DF37" i="15"/>
  <c r="DG37" i="15"/>
  <c r="DH37" i="15"/>
  <c r="DI37" i="15"/>
  <c r="DJ37" i="15"/>
  <c r="DK37" i="15"/>
  <c r="DL37" i="15"/>
  <c r="DM37" i="15"/>
  <c r="DN37" i="15"/>
  <c r="DO37" i="15"/>
  <c r="DP37" i="15"/>
  <c r="DQ37" i="15"/>
  <c r="DR37" i="15"/>
  <c r="DS37" i="15"/>
  <c r="DT37" i="15"/>
  <c r="DU37" i="15"/>
  <c r="DV37" i="15"/>
  <c r="DW37" i="15"/>
  <c r="DX37" i="15"/>
  <c r="DY37" i="15"/>
  <c r="DZ37" i="15"/>
  <c r="EA37" i="15"/>
  <c r="EB37" i="15"/>
  <c r="EC37" i="15"/>
  <c r="ED37" i="15"/>
  <c r="EE37" i="15"/>
  <c r="EF37" i="15"/>
  <c r="EG37" i="15"/>
  <c r="EH37" i="15"/>
  <c r="EI37" i="15"/>
  <c r="EJ37" i="15"/>
  <c r="EK37" i="15"/>
  <c r="EL37" i="15"/>
  <c r="EM37" i="15"/>
  <c r="EN37" i="15"/>
  <c r="EO37" i="15"/>
  <c r="EP37" i="15"/>
  <c r="EQ37" i="15"/>
  <c r="ER37" i="15"/>
  <c r="ES37" i="15"/>
  <c r="ET37" i="15"/>
  <c r="EU37" i="15"/>
  <c r="EV37" i="15"/>
  <c r="EW37" i="15"/>
  <c r="EX37" i="15"/>
  <c r="EY37" i="15"/>
  <c r="EZ37" i="15"/>
  <c r="FA37" i="15"/>
  <c r="FB37" i="15"/>
  <c r="FC37" i="15"/>
  <c r="FD37" i="15"/>
  <c r="FE37" i="15"/>
  <c r="FF37" i="15"/>
  <c r="FG37" i="15"/>
  <c r="FH37" i="15"/>
  <c r="FI37" i="15"/>
  <c r="FJ37" i="15"/>
  <c r="FK37" i="15"/>
  <c r="FL37" i="15"/>
  <c r="FM37" i="15"/>
  <c r="FN37" i="15"/>
  <c r="FO37" i="15"/>
  <c r="FP37" i="15"/>
  <c r="FQ37" i="15"/>
  <c r="FR37" i="15"/>
  <c r="FS37" i="15"/>
  <c r="FT37" i="15"/>
  <c r="FU37" i="15"/>
  <c r="FV37" i="15"/>
  <c r="FW37" i="15"/>
  <c r="FX37" i="15"/>
  <c r="FY37" i="15"/>
  <c r="FZ37" i="15"/>
  <c r="GA37" i="15"/>
  <c r="GB37" i="15"/>
  <c r="GC37" i="15"/>
  <c r="GD37" i="15"/>
  <c r="GE37" i="15"/>
  <c r="GF37" i="15"/>
  <c r="GG37" i="15"/>
  <c r="GH37" i="15"/>
  <c r="GI37" i="15"/>
  <c r="GJ37" i="15"/>
  <c r="GK37" i="15"/>
  <c r="GL37" i="15"/>
  <c r="GM37" i="15"/>
  <c r="GN37" i="15"/>
  <c r="GO37" i="15"/>
  <c r="GP37" i="15"/>
  <c r="GQ37" i="15"/>
  <c r="GR37" i="15"/>
  <c r="GS37" i="15"/>
  <c r="GT37" i="15"/>
  <c r="GU37" i="15"/>
  <c r="GV37" i="15"/>
  <c r="GW37" i="15"/>
  <c r="GX37" i="15"/>
  <c r="GY37" i="15"/>
  <c r="GZ37" i="15"/>
  <c r="HA37" i="15"/>
  <c r="HB37" i="15"/>
  <c r="HC37" i="15"/>
  <c r="HD37" i="15"/>
  <c r="HE37" i="15"/>
  <c r="HF37" i="15"/>
  <c r="HG37" i="15"/>
  <c r="HH37" i="15"/>
  <c r="HI37" i="15"/>
  <c r="HJ37" i="15"/>
  <c r="HK37" i="15"/>
  <c r="HL37" i="15"/>
  <c r="HM37" i="15"/>
  <c r="HN37" i="15"/>
  <c r="HO37" i="15"/>
  <c r="HP37" i="15"/>
  <c r="HQ37" i="15"/>
  <c r="HR37" i="15"/>
  <c r="HS37" i="15"/>
  <c r="HT37" i="15"/>
  <c r="HU37" i="15"/>
  <c r="HV37" i="15"/>
  <c r="HW37" i="15"/>
  <c r="HX37" i="15"/>
  <c r="HY37" i="15"/>
  <c r="HZ37" i="15"/>
  <c r="IA37" i="15"/>
  <c r="IB37" i="15"/>
  <c r="IC37" i="15"/>
  <c r="ID37" i="15"/>
  <c r="IE37" i="15"/>
  <c r="IF37" i="15"/>
  <c r="IG37" i="15"/>
  <c r="IH37" i="15"/>
  <c r="II37" i="15"/>
  <c r="IJ37" i="15"/>
  <c r="IK37" i="15"/>
  <c r="IL37" i="15"/>
  <c r="IM37" i="15"/>
  <c r="IN37" i="15"/>
  <c r="IO37" i="15"/>
  <c r="IP37" i="15"/>
  <c r="IQ37" i="15"/>
  <c r="IR37" i="15"/>
  <c r="IS37" i="15"/>
  <c r="IT37" i="15"/>
  <c r="IU37" i="15"/>
  <c r="IV37" i="15"/>
  <c r="A38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Y38" i="15"/>
  <c r="Z38" i="15"/>
  <c r="AA38" i="15"/>
  <c r="AB38" i="15"/>
  <c r="AC38" i="15"/>
  <c r="AD38" i="15"/>
  <c r="AE38" i="15"/>
  <c r="AF38" i="15"/>
  <c r="AG38" i="15"/>
  <c r="AH38" i="15"/>
  <c r="AI38" i="15"/>
  <c r="AJ38" i="15"/>
  <c r="AK38" i="15"/>
  <c r="AL38" i="15"/>
  <c r="AM38" i="15"/>
  <c r="AN38" i="15"/>
  <c r="AO38" i="15"/>
  <c r="AP38" i="15"/>
  <c r="AQ38" i="15"/>
  <c r="AR38" i="15"/>
  <c r="AS38" i="15"/>
  <c r="AT38" i="15"/>
  <c r="AU38" i="15"/>
  <c r="AV38" i="15"/>
  <c r="AW38" i="15"/>
  <c r="AX38" i="15"/>
  <c r="AY38" i="15"/>
  <c r="AZ38" i="15"/>
  <c r="BA38" i="15"/>
  <c r="BB38" i="15"/>
  <c r="BC38" i="15"/>
  <c r="BD38" i="15"/>
  <c r="BE38" i="15"/>
  <c r="BF38" i="15"/>
  <c r="BG38" i="15"/>
  <c r="BH38" i="15"/>
  <c r="BI38" i="15"/>
  <c r="BJ38" i="15"/>
  <c r="BK38" i="15"/>
  <c r="BL38" i="15"/>
  <c r="BM38" i="15"/>
  <c r="BN38" i="15"/>
  <c r="BO38" i="15"/>
  <c r="BP38" i="15"/>
  <c r="BQ38" i="15"/>
  <c r="BR38" i="15"/>
  <c r="BS38" i="15"/>
  <c r="BT38" i="15"/>
  <c r="BU38" i="15"/>
  <c r="BV38" i="15"/>
  <c r="BW38" i="15"/>
  <c r="BX38" i="15"/>
  <c r="BY38" i="15"/>
  <c r="BZ38" i="15"/>
  <c r="CA38" i="15"/>
  <c r="CB38" i="15"/>
  <c r="CC38" i="15"/>
  <c r="CD38" i="15"/>
  <c r="CE38" i="15"/>
  <c r="CF38" i="15"/>
  <c r="CG38" i="15"/>
  <c r="CH38" i="15"/>
  <c r="CI38" i="15"/>
  <c r="CJ38" i="15"/>
  <c r="CK38" i="15"/>
  <c r="CL38" i="15"/>
  <c r="CM38" i="15"/>
  <c r="CN38" i="15"/>
  <c r="CO38" i="15"/>
  <c r="CP38" i="15"/>
  <c r="CQ38" i="15"/>
  <c r="CR38" i="15"/>
  <c r="CS38" i="15"/>
  <c r="CT38" i="15"/>
  <c r="CU38" i="15"/>
  <c r="CV38" i="15"/>
  <c r="CW38" i="15"/>
  <c r="CX38" i="15"/>
  <c r="CY38" i="15"/>
  <c r="CZ38" i="15"/>
  <c r="DA38" i="15"/>
  <c r="DB38" i="15"/>
  <c r="DC38" i="15"/>
  <c r="DD38" i="15"/>
  <c r="DE38" i="15"/>
  <c r="DF38" i="15"/>
  <c r="DG38" i="15"/>
  <c r="DH38" i="15"/>
  <c r="DI38" i="15"/>
  <c r="DJ38" i="15"/>
  <c r="DK38" i="15"/>
  <c r="DL38" i="15"/>
  <c r="DM38" i="15"/>
  <c r="DN38" i="15"/>
  <c r="DO38" i="15"/>
  <c r="DP38" i="15"/>
  <c r="DQ38" i="15"/>
  <c r="DR38" i="15"/>
  <c r="DS38" i="15"/>
  <c r="DT38" i="15"/>
  <c r="DU38" i="15"/>
  <c r="DV38" i="15"/>
  <c r="DW38" i="15"/>
  <c r="DX38" i="15"/>
  <c r="DY38" i="15"/>
  <c r="DZ38" i="15"/>
  <c r="EA38" i="15"/>
  <c r="EB38" i="15"/>
  <c r="EC38" i="15"/>
  <c r="ED38" i="15"/>
  <c r="EE38" i="15"/>
  <c r="EF38" i="15"/>
  <c r="EG38" i="15"/>
  <c r="EH38" i="15"/>
  <c r="EI38" i="15"/>
  <c r="EJ38" i="15"/>
  <c r="EK38" i="15"/>
  <c r="EL38" i="15"/>
  <c r="EM38" i="15"/>
  <c r="EN38" i="15"/>
  <c r="EO38" i="15"/>
  <c r="EP38" i="15"/>
  <c r="EQ38" i="15"/>
  <c r="ER38" i="15"/>
  <c r="ES38" i="15"/>
  <c r="ET38" i="15"/>
  <c r="EU38" i="15"/>
  <c r="EV38" i="15"/>
  <c r="EW38" i="15"/>
  <c r="EX38" i="15"/>
  <c r="EY38" i="15"/>
  <c r="EZ38" i="15"/>
  <c r="FA38" i="15"/>
  <c r="FB38" i="15"/>
  <c r="FC38" i="15"/>
  <c r="FD38" i="15"/>
  <c r="FE38" i="15"/>
  <c r="FF38" i="15"/>
  <c r="FG38" i="15"/>
  <c r="FH38" i="15"/>
  <c r="FI38" i="15"/>
  <c r="FJ38" i="15"/>
  <c r="FK38" i="15"/>
  <c r="FL38" i="15"/>
  <c r="FM38" i="15"/>
  <c r="FN38" i="15"/>
  <c r="FO38" i="15"/>
  <c r="FP38" i="15"/>
  <c r="FQ38" i="15"/>
  <c r="FR38" i="15"/>
  <c r="FS38" i="15"/>
  <c r="FT38" i="15"/>
  <c r="FU38" i="15"/>
  <c r="FV38" i="15"/>
  <c r="FW38" i="15"/>
  <c r="FX38" i="15"/>
  <c r="FY38" i="15"/>
  <c r="FZ38" i="15"/>
  <c r="GA38" i="15"/>
  <c r="GB38" i="15"/>
  <c r="GC38" i="15"/>
  <c r="GD38" i="15"/>
  <c r="GE38" i="15"/>
  <c r="GF38" i="15"/>
  <c r="GG38" i="15"/>
  <c r="GH38" i="15"/>
  <c r="GI38" i="15"/>
  <c r="GJ38" i="15"/>
  <c r="GK38" i="15"/>
  <c r="GL38" i="15"/>
  <c r="GM38" i="15"/>
  <c r="GN38" i="15"/>
  <c r="GO38" i="15"/>
  <c r="GP38" i="15"/>
  <c r="GQ38" i="15"/>
  <c r="GR38" i="15"/>
  <c r="GS38" i="15"/>
  <c r="GT38" i="15"/>
  <c r="GU38" i="15"/>
  <c r="GV38" i="15"/>
  <c r="GW38" i="15"/>
  <c r="GX38" i="15"/>
  <c r="GY38" i="15"/>
  <c r="GZ38" i="15"/>
  <c r="HA38" i="15"/>
  <c r="HB38" i="15"/>
  <c r="HC38" i="15"/>
  <c r="HD38" i="15"/>
  <c r="HE38" i="15"/>
  <c r="HF38" i="15"/>
  <c r="HG38" i="15"/>
  <c r="HH38" i="15"/>
  <c r="HI38" i="15"/>
  <c r="HJ38" i="15"/>
  <c r="HK38" i="15"/>
  <c r="HL38" i="15"/>
  <c r="HM38" i="15"/>
  <c r="HN38" i="15"/>
  <c r="HO38" i="15"/>
  <c r="HP38" i="15"/>
  <c r="HQ38" i="15"/>
  <c r="HR38" i="15"/>
  <c r="HS38" i="15"/>
  <c r="HT38" i="15"/>
  <c r="HU38" i="15"/>
  <c r="HV38" i="15"/>
  <c r="HW38" i="15"/>
  <c r="HX38" i="15"/>
  <c r="HY38" i="15"/>
  <c r="HZ38" i="15"/>
  <c r="IA38" i="15"/>
  <c r="IB38" i="15"/>
  <c r="IC38" i="15"/>
  <c r="ID38" i="15"/>
  <c r="IE38" i="15"/>
  <c r="IF38" i="15"/>
  <c r="IG38" i="15"/>
  <c r="IH38" i="15"/>
  <c r="II38" i="15"/>
  <c r="IJ38" i="15"/>
  <c r="IK38" i="15"/>
  <c r="IL38" i="15"/>
  <c r="IM38" i="15"/>
  <c r="IN38" i="15"/>
  <c r="IO38" i="15"/>
  <c r="IP38" i="15"/>
  <c r="IQ38" i="15"/>
  <c r="IR38" i="15"/>
  <c r="IS38" i="15"/>
  <c r="IT38" i="15"/>
  <c r="IU38" i="15"/>
  <c r="IV38" i="15"/>
  <c r="A39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Y39" i="15"/>
  <c r="Z39" i="15"/>
  <c r="AA39" i="15"/>
  <c r="AB39" i="15"/>
  <c r="AC39" i="15"/>
  <c r="AD39" i="15"/>
  <c r="AE39" i="15"/>
  <c r="AF39" i="15"/>
  <c r="AG39" i="15"/>
  <c r="AH39" i="15"/>
  <c r="AI39" i="15"/>
  <c r="AJ39" i="15"/>
  <c r="AK39" i="15"/>
  <c r="AL39" i="15"/>
  <c r="AM39" i="15"/>
  <c r="AN39" i="15"/>
  <c r="AO39" i="15"/>
  <c r="AP39" i="15"/>
  <c r="AQ39" i="15"/>
  <c r="AR39" i="15"/>
  <c r="AS39" i="15"/>
  <c r="AT39" i="15"/>
  <c r="AU39" i="15"/>
  <c r="AV39" i="15"/>
  <c r="AW39" i="15"/>
  <c r="AX39" i="15"/>
  <c r="AY39" i="15"/>
  <c r="AZ39" i="15"/>
  <c r="BA39" i="15"/>
  <c r="BB39" i="15"/>
  <c r="BC39" i="15"/>
  <c r="BD39" i="15"/>
  <c r="BE39" i="15"/>
  <c r="BF39" i="15"/>
  <c r="BG39" i="15"/>
  <c r="BH39" i="15"/>
  <c r="BI39" i="15"/>
  <c r="BJ39" i="15"/>
  <c r="BK39" i="15"/>
  <c r="BL39" i="15"/>
  <c r="BM39" i="15"/>
  <c r="BN39" i="15"/>
  <c r="BO39" i="15"/>
  <c r="BP39" i="15"/>
  <c r="BQ39" i="15"/>
  <c r="BR39" i="15"/>
  <c r="BS39" i="15"/>
  <c r="BT39" i="15"/>
  <c r="BU39" i="15"/>
  <c r="BV39" i="15"/>
  <c r="BW39" i="15"/>
  <c r="BX39" i="15"/>
  <c r="BY39" i="15"/>
  <c r="BZ39" i="15"/>
  <c r="CA39" i="15"/>
  <c r="CB39" i="15"/>
  <c r="CC39" i="15"/>
  <c r="CD39" i="15"/>
  <c r="CE39" i="15"/>
  <c r="CF39" i="15"/>
  <c r="CG39" i="15"/>
  <c r="CH39" i="15"/>
  <c r="CI39" i="15"/>
  <c r="CJ39" i="15"/>
  <c r="CK39" i="15"/>
  <c r="CL39" i="15"/>
  <c r="CM39" i="15"/>
  <c r="CN39" i="15"/>
  <c r="CO39" i="15"/>
  <c r="CP39" i="15"/>
  <c r="CQ39" i="15"/>
  <c r="CR39" i="15"/>
  <c r="CS39" i="15"/>
  <c r="CT39" i="15"/>
  <c r="CU39" i="15"/>
  <c r="CV39" i="15"/>
  <c r="CW39" i="15"/>
  <c r="CX39" i="15"/>
  <c r="CY39" i="15"/>
  <c r="CZ39" i="15"/>
  <c r="DA39" i="15"/>
  <c r="DB39" i="15"/>
  <c r="DC39" i="15"/>
  <c r="DD39" i="15"/>
  <c r="DE39" i="15"/>
  <c r="DF39" i="15"/>
  <c r="DG39" i="15"/>
  <c r="DH39" i="15"/>
  <c r="DI39" i="15"/>
  <c r="DJ39" i="15"/>
  <c r="DK39" i="15"/>
  <c r="DL39" i="15"/>
  <c r="DM39" i="15"/>
  <c r="DN39" i="15"/>
  <c r="DO39" i="15"/>
  <c r="DP39" i="15"/>
  <c r="DQ39" i="15"/>
  <c r="DR39" i="15"/>
  <c r="DS39" i="15"/>
  <c r="DT39" i="15"/>
  <c r="DU39" i="15"/>
  <c r="DV39" i="15"/>
  <c r="DW39" i="15"/>
  <c r="DX39" i="15"/>
  <c r="DY39" i="15"/>
  <c r="DZ39" i="15"/>
  <c r="EA39" i="15"/>
  <c r="EB39" i="15"/>
  <c r="EC39" i="15"/>
  <c r="ED39" i="15"/>
  <c r="EE39" i="15"/>
  <c r="EF39" i="15"/>
  <c r="EG39" i="15"/>
  <c r="EH39" i="15"/>
  <c r="EI39" i="15"/>
  <c r="EJ39" i="15"/>
  <c r="EK39" i="15"/>
  <c r="EL39" i="15"/>
  <c r="EM39" i="15"/>
  <c r="EN39" i="15"/>
  <c r="EO39" i="15"/>
  <c r="EP39" i="15"/>
  <c r="EQ39" i="15"/>
  <c r="ER39" i="15"/>
  <c r="ES39" i="15"/>
  <c r="ET39" i="15"/>
  <c r="EU39" i="15"/>
  <c r="EV39" i="15"/>
  <c r="EW39" i="15"/>
  <c r="EX39" i="15"/>
  <c r="EY39" i="15"/>
  <c r="EZ39" i="15"/>
  <c r="FA39" i="15"/>
  <c r="FB39" i="15"/>
  <c r="FC39" i="15"/>
  <c r="FD39" i="15"/>
  <c r="FE39" i="15"/>
  <c r="FF39" i="15"/>
  <c r="FG39" i="15"/>
  <c r="FH39" i="15"/>
  <c r="FI39" i="15"/>
  <c r="FJ39" i="15"/>
  <c r="FK39" i="15"/>
  <c r="FL39" i="15"/>
  <c r="FM39" i="15"/>
  <c r="FN39" i="15"/>
  <c r="FO39" i="15"/>
  <c r="FP39" i="15"/>
  <c r="FQ39" i="15"/>
  <c r="FR39" i="15"/>
  <c r="FS39" i="15"/>
  <c r="FT39" i="15"/>
  <c r="FU39" i="15"/>
  <c r="FV39" i="15"/>
  <c r="FW39" i="15"/>
  <c r="FX39" i="15"/>
  <c r="FY39" i="15"/>
  <c r="FZ39" i="15"/>
  <c r="GA39" i="15"/>
  <c r="GB39" i="15"/>
  <c r="GC39" i="15"/>
  <c r="GD39" i="15"/>
  <c r="GE39" i="15"/>
  <c r="GF39" i="15"/>
  <c r="GG39" i="15"/>
  <c r="GH39" i="15"/>
  <c r="GI39" i="15"/>
  <c r="GJ39" i="15"/>
  <c r="GK39" i="15"/>
  <c r="GL39" i="15"/>
  <c r="GM39" i="15"/>
  <c r="GN39" i="15"/>
  <c r="GO39" i="15"/>
  <c r="GP39" i="15"/>
  <c r="GQ39" i="15"/>
  <c r="GR39" i="15"/>
  <c r="GS39" i="15"/>
  <c r="GT39" i="15"/>
  <c r="GU39" i="15"/>
  <c r="GV39" i="15"/>
  <c r="GW39" i="15"/>
  <c r="GX39" i="15"/>
  <c r="GY39" i="15"/>
  <c r="GZ39" i="15"/>
  <c r="HA39" i="15"/>
  <c r="HB39" i="15"/>
  <c r="HC39" i="15"/>
  <c r="HD39" i="15"/>
  <c r="HE39" i="15"/>
  <c r="HF39" i="15"/>
  <c r="HG39" i="15"/>
  <c r="HH39" i="15"/>
  <c r="HI39" i="15"/>
  <c r="HJ39" i="15"/>
  <c r="HK39" i="15"/>
  <c r="HL39" i="15"/>
  <c r="HM39" i="15"/>
  <c r="HN39" i="15"/>
  <c r="HO39" i="15"/>
  <c r="HP39" i="15"/>
  <c r="HQ39" i="15"/>
  <c r="HR39" i="15"/>
  <c r="HS39" i="15"/>
  <c r="HT39" i="15"/>
  <c r="HU39" i="15"/>
  <c r="HV39" i="15"/>
  <c r="HW39" i="15"/>
  <c r="HX39" i="15"/>
  <c r="HY39" i="15"/>
  <c r="HZ39" i="15"/>
  <c r="IA39" i="15"/>
  <c r="IB39" i="15"/>
  <c r="IC39" i="15"/>
  <c r="ID39" i="15"/>
  <c r="IE39" i="15"/>
  <c r="IF39" i="15"/>
  <c r="IG39" i="15"/>
  <c r="IH39" i="15"/>
  <c r="II39" i="15"/>
  <c r="IJ39" i="15"/>
  <c r="IK39" i="15"/>
  <c r="IL39" i="15"/>
  <c r="IM39" i="15"/>
  <c r="IN39" i="15"/>
  <c r="IO39" i="15"/>
  <c r="IP39" i="15"/>
  <c r="IQ39" i="15"/>
  <c r="IR39" i="15"/>
  <c r="IS39" i="15"/>
  <c r="IT39" i="15"/>
  <c r="IU39" i="15"/>
  <c r="IV39" i="15"/>
  <c r="A40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Y40" i="15"/>
  <c r="Z40" i="15"/>
  <c r="AA40" i="15"/>
  <c r="AB40" i="15"/>
  <c r="AC40" i="15"/>
  <c r="AD40" i="15"/>
  <c r="AE40" i="15"/>
  <c r="AF40" i="15"/>
  <c r="AG40" i="15"/>
  <c r="AH40" i="15"/>
  <c r="AI40" i="15"/>
  <c r="AJ40" i="15"/>
  <c r="AK40" i="15"/>
  <c r="AL40" i="15"/>
  <c r="AM40" i="15"/>
  <c r="AN40" i="15"/>
  <c r="AO40" i="15"/>
  <c r="AP40" i="15"/>
  <c r="AQ40" i="15"/>
  <c r="AR40" i="15"/>
  <c r="AS40" i="15"/>
  <c r="AT40" i="15"/>
  <c r="AU40" i="15"/>
  <c r="AV40" i="15"/>
  <c r="AW40" i="15"/>
  <c r="AX40" i="15"/>
  <c r="AY40" i="15"/>
  <c r="AZ40" i="15"/>
  <c r="BA40" i="15"/>
  <c r="BB40" i="15"/>
  <c r="BC40" i="15"/>
  <c r="BD40" i="15"/>
  <c r="BE40" i="15"/>
  <c r="BF40" i="15"/>
  <c r="BG40" i="15"/>
  <c r="BH40" i="15"/>
  <c r="BI40" i="15"/>
  <c r="BJ40" i="15"/>
  <c r="BK40" i="15"/>
  <c r="BL40" i="15"/>
  <c r="BM40" i="15"/>
  <c r="BN40" i="15"/>
  <c r="BO40" i="15"/>
  <c r="BP40" i="15"/>
  <c r="BQ40" i="15"/>
  <c r="BR40" i="15"/>
  <c r="BS40" i="15"/>
  <c r="BT40" i="15"/>
  <c r="BU40" i="15"/>
  <c r="BV40" i="15"/>
  <c r="BW40" i="15"/>
  <c r="BX40" i="15"/>
  <c r="BY40" i="15"/>
  <c r="BZ40" i="15"/>
  <c r="CA40" i="15"/>
  <c r="CB40" i="15"/>
  <c r="CC40" i="15"/>
  <c r="CD40" i="15"/>
  <c r="CE40" i="15"/>
  <c r="CF40" i="15"/>
  <c r="CG40" i="15"/>
  <c r="CH40" i="15"/>
  <c r="CI40" i="15"/>
  <c r="CJ40" i="15"/>
  <c r="CK40" i="15"/>
  <c r="CL40" i="15"/>
  <c r="CM40" i="15"/>
  <c r="CN40" i="15"/>
  <c r="CO40" i="15"/>
  <c r="CP40" i="15"/>
  <c r="CQ40" i="15"/>
  <c r="CR40" i="15"/>
  <c r="CS40" i="15"/>
  <c r="CT40" i="15"/>
  <c r="CU40" i="15"/>
  <c r="CV40" i="15"/>
  <c r="CW40" i="15"/>
  <c r="CX40" i="15"/>
  <c r="CY40" i="15"/>
  <c r="CZ40" i="15"/>
  <c r="DA40" i="15"/>
  <c r="DB40" i="15"/>
  <c r="DC40" i="15"/>
  <c r="DD40" i="15"/>
  <c r="DE40" i="15"/>
  <c r="DF40" i="15"/>
  <c r="DG40" i="15"/>
  <c r="DH40" i="15"/>
  <c r="DI40" i="15"/>
  <c r="DJ40" i="15"/>
  <c r="DK40" i="15"/>
  <c r="DL40" i="15"/>
  <c r="DM40" i="15"/>
  <c r="DN40" i="15"/>
  <c r="DO40" i="15"/>
  <c r="DP40" i="15"/>
  <c r="DQ40" i="15"/>
  <c r="DR40" i="15"/>
  <c r="DS40" i="15"/>
  <c r="DT40" i="15"/>
  <c r="DU40" i="15"/>
  <c r="DV40" i="15"/>
  <c r="DW40" i="15"/>
  <c r="DX40" i="15"/>
  <c r="DY40" i="15"/>
  <c r="DZ40" i="15"/>
  <c r="EA40" i="15"/>
  <c r="EB40" i="15"/>
  <c r="EC40" i="15"/>
  <c r="ED40" i="15"/>
  <c r="EE40" i="15"/>
  <c r="EF40" i="15"/>
  <c r="EG40" i="15"/>
  <c r="EH40" i="15"/>
  <c r="EI40" i="15"/>
  <c r="EJ40" i="15"/>
  <c r="EK40" i="15"/>
  <c r="EL40" i="15"/>
  <c r="EM40" i="15"/>
  <c r="EN40" i="15"/>
  <c r="EO40" i="15"/>
  <c r="EP40" i="15"/>
  <c r="EQ40" i="15"/>
  <c r="ER40" i="15"/>
  <c r="ES40" i="15"/>
  <c r="ET40" i="15"/>
  <c r="EU40" i="15"/>
  <c r="EV40" i="15"/>
  <c r="EW40" i="15"/>
  <c r="EX40" i="15"/>
  <c r="EY40" i="15"/>
  <c r="EZ40" i="15"/>
  <c r="FA40" i="15"/>
  <c r="FB40" i="15"/>
  <c r="FC40" i="15"/>
  <c r="FD40" i="15"/>
  <c r="FE40" i="15"/>
  <c r="FF40" i="15"/>
  <c r="FG40" i="15"/>
  <c r="FH40" i="15"/>
  <c r="FI40" i="15"/>
  <c r="FJ40" i="15"/>
  <c r="FK40" i="15"/>
  <c r="FL40" i="15"/>
  <c r="FM40" i="15"/>
  <c r="FN40" i="15"/>
  <c r="FO40" i="15"/>
  <c r="FP40" i="15"/>
  <c r="FQ40" i="15"/>
  <c r="FR40" i="15"/>
  <c r="FS40" i="15"/>
  <c r="FT40" i="15"/>
  <c r="FU40" i="15"/>
  <c r="FV40" i="15"/>
  <c r="FW40" i="15"/>
  <c r="FX40" i="15"/>
  <c r="FY40" i="15"/>
  <c r="FZ40" i="15"/>
  <c r="GA40" i="15"/>
  <c r="GB40" i="15"/>
  <c r="GC40" i="15"/>
  <c r="GD40" i="15"/>
  <c r="GE40" i="15"/>
  <c r="GF40" i="15"/>
  <c r="GG40" i="15"/>
  <c r="GH40" i="15"/>
  <c r="GI40" i="15"/>
  <c r="GJ40" i="15"/>
  <c r="GK40" i="15"/>
  <c r="GL40" i="15"/>
  <c r="GM40" i="15"/>
  <c r="GN40" i="15"/>
  <c r="GO40" i="15"/>
  <c r="GP40" i="15"/>
  <c r="GQ40" i="15"/>
  <c r="GR40" i="15"/>
  <c r="GS40" i="15"/>
  <c r="GT40" i="15"/>
  <c r="GU40" i="15"/>
  <c r="GV40" i="15"/>
  <c r="GW40" i="15"/>
  <c r="GX40" i="15"/>
  <c r="GY40" i="15"/>
  <c r="GZ40" i="15"/>
  <c r="HA40" i="15"/>
  <c r="HB40" i="15"/>
  <c r="HC40" i="15"/>
  <c r="HD40" i="15"/>
  <c r="HE40" i="15"/>
  <c r="HF40" i="15"/>
  <c r="HG40" i="15"/>
  <c r="HH40" i="15"/>
  <c r="HI40" i="15"/>
  <c r="HJ40" i="15"/>
  <c r="HK40" i="15"/>
  <c r="HL40" i="15"/>
  <c r="HM40" i="15"/>
  <c r="HN40" i="15"/>
  <c r="HO40" i="15"/>
  <c r="HP40" i="15"/>
  <c r="HQ40" i="15"/>
  <c r="HR40" i="15"/>
  <c r="HS40" i="15"/>
  <c r="HT40" i="15"/>
  <c r="HU40" i="15"/>
  <c r="HV40" i="15"/>
  <c r="HW40" i="15"/>
  <c r="HX40" i="15"/>
  <c r="HY40" i="15"/>
  <c r="HZ40" i="15"/>
  <c r="IA40" i="15"/>
  <c r="IB40" i="15"/>
  <c r="IC40" i="15"/>
  <c r="ID40" i="15"/>
  <c r="IE40" i="15"/>
  <c r="IF40" i="15"/>
  <c r="IG40" i="15"/>
  <c r="IH40" i="15"/>
  <c r="II40" i="15"/>
  <c r="IJ40" i="15"/>
  <c r="IK40" i="15"/>
  <c r="IL40" i="15"/>
  <c r="IM40" i="15"/>
  <c r="IN40" i="15"/>
  <c r="IO40" i="15"/>
  <c r="IP40" i="15"/>
  <c r="IQ40" i="15"/>
  <c r="IR40" i="15"/>
  <c r="IS40" i="15"/>
  <c r="IT40" i="15"/>
  <c r="IU40" i="15"/>
  <c r="IV40" i="15"/>
  <c r="A41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Q41" i="15"/>
  <c r="R41" i="15"/>
  <c r="S41" i="15"/>
  <c r="T41" i="15"/>
  <c r="U41" i="15"/>
  <c r="V41" i="15"/>
  <c r="W41" i="15"/>
  <c r="X41" i="15"/>
  <c r="Y41" i="15"/>
  <c r="Z41" i="15"/>
  <c r="AA41" i="15"/>
  <c r="AB41" i="15"/>
  <c r="AC41" i="15"/>
  <c r="AD41" i="15"/>
  <c r="AE41" i="15"/>
  <c r="AF41" i="15"/>
  <c r="AG41" i="15"/>
  <c r="AH41" i="15"/>
  <c r="AI41" i="15"/>
  <c r="AJ41" i="15"/>
  <c r="AK41" i="15"/>
  <c r="AL41" i="15"/>
  <c r="AM41" i="15"/>
  <c r="AN41" i="15"/>
  <c r="AO41" i="15"/>
  <c r="AP41" i="15"/>
  <c r="AQ41" i="15"/>
  <c r="AR41" i="15"/>
  <c r="AS41" i="15"/>
  <c r="AT41" i="15"/>
  <c r="AU41" i="15"/>
  <c r="AV41" i="15"/>
  <c r="AW41" i="15"/>
  <c r="AX41" i="15"/>
  <c r="AY41" i="15"/>
  <c r="AZ41" i="15"/>
  <c r="BA41" i="15"/>
  <c r="BB41" i="15"/>
  <c r="BC41" i="15"/>
  <c r="BD41" i="15"/>
  <c r="BE41" i="15"/>
  <c r="BF41" i="15"/>
  <c r="BG41" i="15"/>
  <c r="BH41" i="15"/>
  <c r="BI41" i="15"/>
  <c r="BJ41" i="15"/>
  <c r="BK41" i="15"/>
  <c r="BL41" i="15"/>
  <c r="BM41" i="15"/>
  <c r="BN41" i="15"/>
  <c r="BO41" i="15"/>
  <c r="BP41" i="15"/>
  <c r="BQ41" i="15"/>
  <c r="BR41" i="15"/>
  <c r="BS41" i="15"/>
  <c r="BT41" i="15"/>
  <c r="BU41" i="15"/>
  <c r="BV41" i="15"/>
  <c r="BW41" i="15"/>
  <c r="BX41" i="15"/>
  <c r="BY41" i="15"/>
  <c r="BZ41" i="15"/>
  <c r="CA41" i="15"/>
  <c r="CB41" i="15"/>
  <c r="CC41" i="15"/>
  <c r="CD41" i="15"/>
  <c r="CE41" i="15"/>
  <c r="CF41" i="15"/>
  <c r="CG41" i="15"/>
  <c r="CH41" i="15"/>
  <c r="CI41" i="15"/>
  <c r="CJ41" i="15"/>
  <c r="CK41" i="15"/>
  <c r="CL41" i="15"/>
  <c r="CM41" i="15"/>
  <c r="CN41" i="15"/>
  <c r="CO41" i="15"/>
  <c r="CP41" i="15"/>
  <c r="CQ41" i="15"/>
  <c r="CR41" i="15"/>
  <c r="CS41" i="15"/>
  <c r="CT41" i="15"/>
  <c r="CU41" i="15"/>
  <c r="CV41" i="15"/>
  <c r="CW41" i="15"/>
  <c r="CX41" i="15"/>
  <c r="CY41" i="15"/>
  <c r="CZ41" i="15"/>
  <c r="DA41" i="15"/>
  <c r="DB41" i="15"/>
  <c r="DC41" i="15"/>
  <c r="DD41" i="15"/>
  <c r="DE41" i="15"/>
  <c r="DF41" i="15"/>
  <c r="DG41" i="15"/>
  <c r="DH41" i="15"/>
  <c r="DI41" i="15"/>
  <c r="DJ41" i="15"/>
  <c r="DK41" i="15"/>
  <c r="DL41" i="15"/>
  <c r="DM41" i="15"/>
  <c r="DN41" i="15"/>
  <c r="DO41" i="15"/>
  <c r="DP41" i="15"/>
  <c r="DQ41" i="15"/>
  <c r="DR41" i="15"/>
  <c r="DS41" i="15"/>
  <c r="DT41" i="15"/>
  <c r="DU41" i="15"/>
  <c r="DV41" i="15"/>
  <c r="DW41" i="15"/>
  <c r="DX41" i="15"/>
  <c r="DY41" i="15"/>
  <c r="DZ41" i="15"/>
  <c r="EA41" i="15"/>
  <c r="EB41" i="15"/>
  <c r="EC41" i="15"/>
  <c r="ED41" i="15"/>
  <c r="EE41" i="15"/>
  <c r="EF41" i="15"/>
  <c r="EG41" i="15"/>
  <c r="EH41" i="15"/>
  <c r="EI41" i="15"/>
  <c r="EJ41" i="15"/>
  <c r="EK41" i="15"/>
  <c r="EL41" i="15"/>
  <c r="EM41" i="15"/>
  <c r="EN41" i="15"/>
  <c r="EO41" i="15"/>
  <c r="EP41" i="15"/>
  <c r="EQ41" i="15"/>
  <c r="ER41" i="15"/>
  <c r="ES41" i="15"/>
  <c r="ET41" i="15"/>
  <c r="EU41" i="15"/>
  <c r="EV41" i="15"/>
  <c r="EW41" i="15"/>
  <c r="EX41" i="15"/>
  <c r="EY41" i="15"/>
  <c r="EZ41" i="15"/>
  <c r="FA41" i="15"/>
  <c r="FB41" i="15"/>
  <c r="FC41" i="15"/>
  <c r="FD41" i="15"/>
  <c r="FE41" i="15"/>
  <c r="FF41" i="15"/>
  <c r="FG41" i="15"/>
  <c r="FH41" i="15"/>
  <c r="FI41" i="15"/>
  <c r="FJ41" i="15"/>
  <c r="FK41" i="15"/>
  <c r="FL41" i="15"/>
  <c r="FM41" i="15"/>
  <c r="FN41" i="15"/>
  <c r="FO41" i="15"/>
  <c r="FP41" i="15"/>
  <c r="FQ41" i="15"/>
  <c r="FR41" i="15"/>
  <c r="FS41" i="15"/>
  <c r="FT41" i="15"/>
  <c r="FU41" i="15"/>
  <c r="FV41" i="15"/>
  <c r="FW41" i="15"/>
  <c r="FX41" i="15"/>
  <c r="FY41" i="15"/>
  <c r="FZ41" i="15"/>
  <c r="GA41" i="15"/>
  <c r="GB41" i="15"/>
  <c r="GC41" i="15"/>
  <c r="GD41" i="15"/>
  <c r="GE41" i="15"/>
  <c r="GF41" i="15"/>
  <c r="GG41" i="15"/>
  <c r="GH41" i="15"/>
  <c r="GI41" i="15"/>
  <c r="GJ41" i="15"/>
  <c r="GK41" i="15"/>
  <c r="GL41" i="15"/>
  <c r="GM41" i="15"/>
  <c r="GN41" i="15"/>
  <c r="GO41" i="15"/>
  <c r="GP41" i="15"/>
  <c r="GQ41" i="15"/>
  <c r="GR41" i="15"/>
  <c r="GS41" i="15"/>
  <c r="GT41" i="15"/>
  <c r="GU41" i="15"/>
  <c r="GV41" i="15"/>
  <c r="GW41" i="15"/>
  <c r="GX41" i="15"/>
  <c r="GY41" i="15"/>
  <c r="GZ41" i="15"/>
  <c r="HA41" i="15"/>
  <c r="HB41" i="15"/>
  <c r="HC41" i="15"/>
  <c r="HD41" i="15"/>
  <c r="HE41" i="15"/>
  <c r="HF41" i="15"/>
  <c r="HG41" i="15"/>
  <c r="HH41" i="15"/>
  <c r="HI41" i="15"/>
  <c r="HJ41" i="15"/>
  <c r="HK41" i="15"/>
  <c r="HL41" i="15"/>
  <c r="HM41" i="15"/>
  <c r="HN41" i="15"/>
  <c r="HO41" i="15"/>
  <c r="HP41" i="15"/>
  <c r="HQ41" i="15"/>
  <c r="HR41" i="15"/>
  <c r="HS41" i="15"/>
  <c r="HT41" i="15"/>
  <c r="HU41" i="15"/>
  <c r="HV41" i="15"/>
  <c r="HW41" i="15"/>
  <c r="HX41" i="15"/>
  <c r="HY41" i="15"/>
  <c r="HZ41" i="15"/>
  <c r="IA41" i="15"/>
  <c r="IB41" i="15"/>
  <c r="IC41" i="15"/>
  <c r="ID41" i="15"/>
  <c r="IE41" i="15"/>
  <c r="IF41" i="15"/>
  <c r="IG41" i="15"/>
  <c r="IH41" i="15"/>
  <c r="II41" i="15"/>
  <c r="IJ41" i="15"/>
  <c r="IK41" i="15"/>
  <c r="IL41" i="15"/>
  <c r="IM41" i="15"/>
  <c r="IN41" i="15"/>
  <c r="IO41" i="15"/>
  <c r="IP41" i="15"/>
  <c r="IQ41" i="15"/>
  <c r="IR41" i="15"/>
  <c r="IS41" i="15"/>
  <c r="IT41" i="15"/>
  <c r="IU41" i="15"/>
  <c r="IV41" i="15"/>
  <c r="A42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T42" i="15"/>
  <c r="U42" i="15"/>
  <c r="V42" i="15"/>
  <c r="W42" i="15"/>
  <c r="X42" i="15"/>
  <c r="Y42" i="15"/>
  <c r="Z42" i="15"/>
  <c r="AA42" i="15"/>
  <c r="AB42" i="15"/>
  <c r="AC42" i="15"/>
  <c r="AD42" i="15"/>
  <c r="AE42" i="15"/>
  <c r="AF42" i="15"/>
  <c r="AG42" i="15"/>
  <c r="AH42" i="15"/>
  <c r="AI42" i="15"/>
  <c r="AJ42" i="15"/>
  <c r="AK42" i="15"/>
  <c r="AL42" i="15"/>
  <c r="AM42" i="15"/>
  <c r="AN42" i="15"/>
  <c r="AO42" i="15"/>
  <c r="AP42" i="15"/>
  <c r="AQ42" i="15"/>
  <c r="AR42" i="15"/>
  <c r="AS42" i="15"/>
  <c r="AT42" i="15"/>
  <c r="AU42" i="15"/>
  <c r="AV42" i="15"/>
  <c r="AW42" i="15"/>
  <c r="AX42" i="15"/>
  <c r="AY42" i="15"/>
  <c r="AZ42" i="15"/>
  <c r="BA42" i="15"/>
  <c r="BB42" i="15"/>
  <c r="BC42" i="15"/>
  <c r="BD42" i="15"/>
  <c r="BE42" i="15"/>
  <c r="BF42" i="15"/>
  <c r="BG42" i="15"/>
  <c r="BH42" i="15"/>
  <c r="BI42" i="15"/>
  <c r="BJ42" i="15"/>
  <c r="BK42" i="15"/>
  <c r="BL42" i="15"/>
  <c r="BM42" i="15"/>
  <c r="BN42" i="15"/>
  <c r="BO42" i="15"/>
  <c r="BP42" i="15"/>
  <c r="BQ42" i="15"/>
  <c r="BR42" i="15"/>
  <c r="BS42" i="15"/>
  <c r="BT42" i="15"/>
  <c r="BU42" i="15"/>
  <c r="BV42" i="15"/>
  <c r="BW42" i="15"/>
  <c r="BX42" i="15"/>
  <c r="BY42" i="15"/>
  <c r="BZ42" i="15"/>
  <c r="CA42" i="15"/>
  <c r="CB42" i="15"/>
  <c r="CC42" i="15"/>
  <c r="CD42" i="15"/>
  <c r="CE42" i="15"/>
  <c r="CF42" i="15"/>
  <c r="CG42" i="15"/>
  <c r="CH42" i="15"/>
  <c r="CI42" i="15"/>
  <c r="CJ42" i="15"/>
  <c r="CK42" i="15"/>
  <c r="CL42" i="15"/>
  <c r="CM42" i="15"/>
  <c r="CN42" i="15"/>
  <c r="CO42" i="15"/>
  <c r="A43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R43" i="15"/>
  <c r="S43" i="15"/>
  <c r="T43" i="15"/>
  <c r="U43" i="15"/>
  <c r="V43" i="15"/>
  <c r="W43" i="15"/>
  <c r="X43" i="15"/>
  <c r="Y43" i="15"/>
  <c r="Z43" i="15"/>
  <c r="AA43" i="15"/>
  <c r="AB43" i="15"/>
  <c r="AC43" i="15"/>
  <c r="AD43" i="15"/>
  <c r="AE43" i="15"/>
  <c r="AF43" i="15"/>
  <c r="AG43" i="15"/>
  <c r="AH43" i="15"/>
  <c r="AI43" i="15"/>
  <c r="AJ43" i="15"/>
  <c r="AK43" i="15"/>
  <c r="AL43" i="15"/>
  <c r="AM43" i="15"/>
  <c r="AN43" i="15"/>
  <c r="AO43" i="15"/>
  <c r="AP43" i="15"/>
  <c r="AQ43" i="15"/>
  <c r="AR43" i="15"/>
  <c r="AS43" i="15"/>
  <c r="AT43" i="15"/>
  <c r="AU43" i="15"/>
  <c r="AV43" i="15"/>
  <c r="AW43" i="15"/>
  <c r="AX43" i="15"/>
  <c r="AY43" i="15"/>
  <c r="AZ43" i="15"/>
  <c r="BA43" i="15"/>
  <c r="BB43" i="15"/>
  <c r="BC43" i="15"/>
  <c r="BD43" i="15"/>
  <c r="BE43" i="15"/>
  <c r="BF43" i="15"/>
  <c r="BG43" i="15"/>
  <c r="BH43" i="15"/>
  <c r="BI43" i="15"/>
  <c r="BJ43" i="15"/>
  <c r="BK43" i="15"/>
  <c r="BL43" i="15"/>
  <c r="BM43" i="15"/>
  <c r="BN43" i="15"/>
  <c r="BO43" i="15"/>
  <c r="BP43" i="15"/>
  <c r="BQ43" i="15"/>
  <c r="BR43" i="15"/>
  <c r="BS43" i="15"/>
  <c r="BT43" i="15"/>
  <c r="BU43" i="15"/>
  <c r="BV43" i="15"/>
  <c r="BW43" i="15"/>
  <c r="BX43" i="15"/>
  <c r="BY43" i="15"/>
  <c r="BZ43" i="15"/>
  <c r="CA43" i="15"/>
  <c r="CB43" i="15"/>
  <c r="CC43" i="15"/>
  <c r="CD43" i="15"/>
  <c r="CE43" i="15"/>
  <c r="CF43" i="15"/>
  <c r="CG43" i="15"/>
  <c r="CH43" i="15"/>
  <c r="CI43" i="15"/>
  <c r="CJ43" i="15"/>
  <c r="CK43" i="15"/>
  <c r="CL43" i="15"/>
  <c r="CM43" i="15"/>
  <c r="CN43" i="15"/>
  <c r="CO43" i="15"/>
  <c r="CP43" i="15"/>
  <c r="CQ43" i="15"/>
  <c r="CR43" i="15"/>
  <c r="CS43" i="15"/>
  <c r="CT43" i="15"/>
  <c r="CU43" i="15"/>
  <c r="CV43" i="15"/>
  <c r="CW43" i="15"/>
  <c r="CX43" i="15"/>
  <c r="CY43" i="15"/>
  <c r="CZ43" i="15"/>
  <c r="DA43" i="15"/>
  <c r="DB43" i="15"/>
  <c r="DC43" i="15"/>
  <c r="DD43" i="15"/>
  <c r="DE43" i="15"/>
  <c r="DF43" i="15"/>
  <c r="DG43" i="15"/>
  <c r="DH43" i="15"/>
  <c r="DI43" i="15"/>
  <c r="DJ43" i="15"/>
  <c r="DK43" i="15"/>
  <c r="DL43" i="15"/>
  <c r="DM43" i="15"/>
  <c r="DN43" i="15"/>
  <c r="DO43" i="15"/>
  <c r="DP43" i="15"/>
  <c r="DQ43" i="15"/>
  <c r="DR43" i="15"/>
  <c r="DS43" i="15"/>
  <c r="DT43" i="15"/>
  <c r="DU43" i="15"/>
  <c r="DV43" i="15"/>
  <c r="DW43" i="15"/>
  <c r="DX43" i="15"/>
  <c r="DY43" i="15"/>
  <c r="DZ43" i="15"/>
  <c r="EA43" i="15"/>
  <c r="EB43" i="15"/>
  <c r="EC43" i="15"/>
  <c r="ED43" i="15"/>
  <c r="EE43" i="15"/>
  <c r="EF43" i="15"/>
  <c r="EG43" i="15"/>
  <c r="EH43" i="15"/>
  <c r="EI43" i="15"/>
  <c r="EJ43" i="15"/>
  <c r="EK43" i="15"/>
  <c r="EL43" i="15"/>
  <c r="EM43" i="15"/>
  <c r="EN43" i="15"/>
  <c r="EO43" i="15"/>
  <c r="EP43" i="15"/>
  <c r="EQ43" i="15"/>
  <c r="ER43" i="15"/>
  <c r="ES43" i="15"/>
  <c r="ET43" i="15"/>
  <c r="EU43" i="15"/>
  <c r="EV43" i="15"/>
  <c r="EW43" i="15"/>
  <c r="EX43" i="15"/>
  <c r="EY43" i="15"/>
  <c r="EZ43" i="15"/>
  <c r="FA43" i="15"/>
  <c r="FB43" i="15"/>
  <c r="FC43" i="15"/>
  <c r="FD43" i="15"/>
  <c r="FE43" i="15"/>
  <c r="FF43" i="15"/>
  <c r="FG43" i="15"/>
  <c r="FH43" i="15"/>
  <c r="FI43" i="15"/>
  <c r="FJ43" i="15"/>
  <c r="FK43" i="15"/>
  <c r="FL43" i="15"/>
  <c r="FM43" i="15"/>
  <c r="FN43" i="15"/>
  <c r="FO43" i="15"/>
  <c r="FP43" i="15"/>
  <c r="FQ43" i="15"/>
  <c r="FR43" i="15"/>
  <c r="FS43" i="15"/>
  <c r="FT43" i="15"/>
  <c r="FU43" i="15"/>
  <c r="FV43" i="15"/>
  <c r="FW43" i="15"/>
  <c r="FX43" i="15"/>
  <c r="FY43" i="15"/>
  <c r="FZ43" i="15"/>
  <c r="GA43" i="15"/>
  <c r="GB43" i="15"/>
  <c r="GD43" i="15"/>
  <c r="GE43" i="15"/>
  <c r="GF43" i="15"/>
  <c r="GG43" i="15"/>
  <c r="GH43" i="15"/>
  <c r="GI43" i="15"/>
  <c r="GJ43" i="15"/>
  <c r="GK43" i="15"/>
  <c r="GL43" i="15"/>
  <c r="GM43" i="15"/>
  <c r="GN43" i="15"/>
  <c r="GO43" i="15"/>
  <c r="GP43" i="15"/>
  <c r="GQ43" i="15"/>
  <c r="GR43" i="15"/>
  <c r="GS43" i="15"/>
  <c r="GT43" i="15"/>
  <c r="GU43" i="15"/>
  <c r="GV43" i="15"/>
  <c r="GW43" i="15"/>
  <c r="GX43" i="15"/>
  <c r="GY43" i="15"/>
  <c r="GZ43" i="15"/>
  <c r="HB43" i="15"/>
  <c r="HC43" i="15"/>
  <c r="HD43" i="15"/>
  <c r="HE43" i="15"/>
  <c r="HF43" i="15"/>
  <c r="HG43" i="15"/>
  <c r="HH43" i="15"/>
  <c r="HI43" i="15"/>
  <c r="HJ43" i="15"/>
  <c r="HK43" i="15"/>
  <c r="HL43" i="15"/>
  <c r="HM43" i="15"/>
  <c r="HN43" i="15"/>
  <c r="HO43" i="15"/>
  <c r="HP43" i="15"/>
  <c r="HQ43" i="15"/>
  <c r="HR43" i="15"/>
  <c r="HS43" i="15"/>
  <c r="HT43" i="15"/>
  <c r="HU43" i="15"/>
  <c r="HV43" i="15"/>
  <c r="HW43" i="15"/>
  <c r="HX43" i="15"/>
  <c r="HY43" i="15"/>
  <c r="HZ43" i="15"/>
  <c r="IA43" i="15"/>
  <c r="IB43" i="15"/>
  <c r="IC43" i="15"/>
  <c r="ID43" i="15"/>
  <c r="IE43" i="15"/>
  <c r="IF43" i="15"/>
  <c r="IG43" i="15"/>
  <c r="IH43" i="15"/>
  <c r="II43" i="15"/>
  <c r="IJ43" i="15"/>
  <c r="IK43" i="15"/>
  <c r="IL43" i="15"/>
  <c r="IM43" i="15"/>
  <c r="IN43" i="15"/>
  <c r="IO43" i="15"/>
  <c r="IP43" i="15"/>
  <c r="IQ43" i="15"/>
  <c r="IR43" i="15"/>
  <c r="IS43" i="15"/>
  <c r="IT43" i="15"/>
  <c r="IU43" i="15"/>
  <c r="IV43" i="15"/>
  <c r="A44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W44" i="15"/>
  <c r="X44" i="15"/>
  <c r="Y44" i="15"/>
  <c r="Z44" i="15"/>
  <c r="AA44" i="15"/>
  <c r="AB44" i="15"/>
  <c r="AC44" i="15"/>
  <c r="AD44" i="15"/>
  <c r="AE44" i="15"/>
  <c r="AF44" i="15"/>
  <c r="AG44" i="15"/>
  <c r="AH44" i="15"/>
  <c r="AI44" i="15"/>
  <c r="AJ44" i="15"/>
  <c r="AK44" i="15"/>
  <c r="AL44" i="15"/>
  <c r="AM44" i="15"/>
  <c r="AN44" i="15"/>
  <c r="AO44" i="15"/>
  <c r="AP44" i="15"/>
  <c r="AQ44" i="15"/>
  <c r="AR44" i="15"/>
  <c r="AS44" i="15"/>
  <c r="AT44" i="15"/>
  <c r="AU44" i="15"/>
  <c r="AV44" i="15"/>
  <c r="AW44" i="15"/>
  <c r="AX44" i="15"/>
  <c r="AY44" i="15"/>
  <c r="AZ44" i="15"/>
  <c r="BA44" i="15"/>
  <c r="BB44" i="15"/>
  <c r="BC44" i="15"/>
  <c r="BD44" i="15"/>
  <c r="BE44" i="15"/>
  <c r="BF44" i="15"/>
  <c r="BG44" i="15"/>
  <c r="BH44" i="15"/>
  <c r="BI44" i="15"/>
  <c r="BJ44" i="15"/>
  <c r="BK44" i="15"/>
  <c r="BL44" i="15"/>
  <c r="BM44" i="15"/>
  <c r="BN44" i="15"/>
  <c r="BO44" i="15"/>
  <c r="BP44" i="15"/>
  <c r="BQ44" i="15"/>
  <c r="BR44" i="15"/>
  <c r="BS44" i="15"/>
  <c r="BT44" i="15"/>
  <c r="BU44" i="15"/>
  <c r="BV44" i="15"/>
  <c r="BW44" i="15"/>
  <c r="BX44" i="15"/>
  <c r="BY44" i="15"/>
  <c r="BZ44" i="15"/>
  <c r="CA44" i="15"/>
  <c r="CB44" i="15"/>
  <c r="CC44" i="15"/>
  <c r="CD44" i="15"/>
  <c r="CE44" i="15"/>
  <c r="CF44" i="15"/>
  <c r="CG44" i="15"/>
  <c r="CH44" i="15"/>
  <c r="CI44" i="15"/>
  <c r="CJ44" i="15"/>
  <c r="CK44" i="15"/>
  <c r="CL44" i="15"/>
  <c r="CM44" i="15"/>
  <c r="CN44" i="15"/>
  <c r="CO44" i="15"/>
  <c r="CP44" i="15"/>
  <c r="CQ44" i="15"/>
  <c r="CR44" i="15"/>
  <c r="CS44" i="15"/>
  <c r="CT44" i="15"/>
  <c r="CU44" i="15"/>
  <c r="CV44" i="15"/>
  <c r="CW44" i="15"/>
  <c r="CX44" i="15"/>
  <c r="CY44" i="15"/>
  <c r="CZ44" i="15"/>
  <c r="DA44" i="15"/>
  <c r="DB44" i="15"/>
  <c r="DC44" i="15"/>
  <c r="DD44" i="15"/>
  <c r="DE44" i="15"/>
  <c r="DF44" i="15"/>
  <c r="DG44" i="15"/>
  <c r="DH44" i="15"/>
  <c r="DI44" i="15"/>
  <c r="DJ44" i="15"/>
  <c r="DK44" i="15"/>
  <c r="DL44" i="15"/>
  <c r="DM44" i="15"/>
  <c r="DN44" i="15"/>
  <c r="DO44" i="15"/>
  <c r="DP44" i="15"/>
  <c r="DQ44" i="15"/>
  <c r="DR44" i="15"/>
  <c r="DS44" i="15"/>
  <c r="DT44" i="15"/>
  <c r="DU44" i="15"/>
  <c r="DV44" i="15"/>
  <c r="DW44" i="15"/>
  <c r="DX44" i="15"/>
  <c r="DY44" i="15"/>
  <c r="DZ44" i="15"/>
  <c r="EA44" i="15"/>
  <c r="EB44" i="15"/>
  <c r="EC44" i="15"/>
  <c r="ED44" i="15"/>
  <c r="EE44" i="15"/>
  <c r="EF44" i="15"/>
  <c r="EG44" i="15"/>
  <c r="EH44" i="15"/>
  <c r="EI44" i="15"/>
  <c r="EJ44" i="15"/>
  <c r="EK44" i="15"/>
  <c r="EL44" i="15"/>
  <c r="EM44" i="15"/>
  <c r="EN44" i="15"/>
  <c r="EO44" i="15"/>
  <c r="EP44" i="15"/>
  <c r="EQ44" i="15"/>
  <c r="ER44" i="15"/>
  <c r="ES44" i="15"/>
  <c r="ET44" i="15"/>
  <c r="EU44" i="15"/>
  <c r="EV44" i="15"/>
  <c r="EW44" i="15"/>
  <c r="EX44" i="15"/>
  <c r="EY44" i="15"/>
  <c r="EZ44" i="15"/>
  <c r="FA44" i="15"/>
  <c r="FB44" i="15"/>
  <c r="FC44" i="15"/>
  <c r="FD44" i="15"/>
  <c r="FE44" i="15"/>
  <c r="FF44" i="15"/>
  <c r="FG44" i="15"/>
  <c r="FH44" i="15"/>
  <c r="FI44" i="15"/>
  <c r="FJ44" i="15"/>
  <c r="FK44" i="15"/>
  <c r="FL44" i="15"/>
  <c r="FM44" i="15"/>
  <c r="FN44" i="15"/>
  <c r="FO44" i="15"/>
  <c r="FP44" i="15"/>
  <c r="FQ44" i="15"/>
  <c r="FR44" i="15"/>
  <c r="FS44" i="15"/>
  <c r="FT44" i="15"/>
  <c r="FU44" i="15"/>
  <c r="FV44" i="15"/>
  <c r="FW44" i="15"/>
  <c r="FX44" i="15"/>
  <c r="FY44" i="15"/>
  <c r="FZ44" i="15"/>
  <c r="GA44" i="15"/>
  <c r="GB44" i="15"/>
  <c r="GC44" i="15"/>
  <c r="GD44" i="15"/>
  <c r="GE44" i="15"/>
  <c r="A45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A46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X46" i="15"/>
  <c r="Y46" i="15"/>
  <c r="Z46" i="15"/>
  <c r="AA46" i="15"/>
  <c r="AB46" i="15"/>
  <c r="AC46" i="15"/>
  <c r="AD46" i="15"/>
  <c r="AE46" i="15"/>
  <c r="AF46" i="15"/>
  <c r="AG46" i="15"/>
  <c r="AH46" i="15"/>
  <c r="AI46" i="15"/>
  <c r="AJ46" i="15"/>
  <c r="AK46" i="15"/>
  <c r="AL46" i="15"/>
  <c r="AM46" i="15"/>
  <c r="AN46" i="15"/>
  <c r="AO46" i="15"/>
  <c r="AP46" i="15"/>
  <c r="AQ46" i="15"/>
  <c r="AR46" i="15"/>
  <c r="AS46" i="15"/>
  <c r="AT46" i="15"/>
  <c r="AU46" i="15"/>
  <c r="AV46" i="15"/>
  <c r="AW46" i="15"/>
  <c r="AX46" i="15"/>
  <c r="AY46" i="15"/>
  <c r="AZ46" i="15"/>
  <c r="BA46" i="15"/>
  <c r="BB46" i="15"/>
  <c r="BC46" i="15"/>
  <c r="BD46" i="15"/>
  <c r="BE46" i="15"/>
  <c r="BF46" i="15"/>
  <c r="BG46" i="15"/>
  <c r="BH46" i="15"/>
  <c r="BI46" i="15"/>
  <c r="BJ46" i="15"/>
  <c r="BK46" i="15"/>
  <c r="BL46" i="15"/>
  <c r="BM46" i="15"/>
  <c r="BN46" i="15"/>
  <c r="BO46" i="15"/>
  <c r="BP46" i="15"/>
  <c r="BQ46" i="15"/>
  <c r="BR46" i="15"/>
  <c r="BS46" i="15"/>
  <c r="BT46" i="15"/>
  <c r="BU46" i="15"/>
  <c r="BV46" i="15"/>
  <c r="BW46" i="15"/>
  <c r="BX46" i="15"/>
  <c r="BY46" i="15"/>
  <c r="BZ46" i="15"/>
  <c r="CA46" i="15"/>
  <c r="CB46" i="15"/>
  <c r="CC46" i="15"/>
  <c r="CD46" i="15"/>
  <c r="CE46" i="15"/>
  <c r="CF46" i="15"/>
  <c r="CG46" i="15"/>
  <c r="CH46" i="15"/>
  <c r="CI46" i="15"/>
  <c r="CJ46" i="15"/>
  <c r="CK46" i="15"/>
  <c r="CL46" i="15"/>
  <c r="CM46" i="15"/>
  <c r="CN46" i="15"/>
  <c r="CO46" i="15"/>
  <c r="CP46" i="15"/>
  <c r="CQ46" i="15"/>
  <c r="CR46" i="15"/>
  <c r="CS46" i="15"/>
  <c r="CT46" i="15"/>
  <c r="CU46" i="15"/>
  <c r="CV46" i="15"/>
  <c r="CW46" i="15"/>
  <c r="CX46" i="15"/>
  <c r="CY46" i="15"/>
  <c r="CZ46" i="15"/>
  <c r="DA46" i="15"/>
  <c r="DB46" i="15"/>
  <c r="DC46" i="15"/>
  <c r="DD46" i="15"/>
  <c r="DE46" i="15"/>
  <c r="DF46" i="15"/>
  <c r="DG46" i="15"/>
  <c r="DH46" i="15"/>
  <c r="DI46" i="15"/>
  <c r="DJ46" i="15"/>
  <c r="DK46" i="15"/>
  <c r="DL46" i="15"/>
  <c r="DM46" i="15"/>
  <c r="DN46" i="15"/>
  <c r="DO46" i="15"/>
  <c r="DP46" i="15"/>
  <c r="DQ46" i="15"/>
  <c r="DR46" i="15"/>
  <c r="DS46" i="15"/>
  <c r="DT46" i="15"/>
  <c r="DU46" i="15"/>
  <c r="DV46" i="15"/>
  <c r="DW46" i="15"/>
  <c r="DX46" i="15"/>
  <c r="DY46" i="15"/>
  <c r="DZ46" i="15"/>
  <c r="EA46" i="15"/>
  <c r="EB46" i="15"/>
  <c r="EC46" i="15"/>
  <c r="ED46" i="15"/>
  <c r="EE46" i="15"/>
  <c r="EF46" i="15"/>
  <c r="EG46" i="15"/>
  <c r="EH46" i="15"/>
  <c r="EI46" i="15"/>
  <c r="EJ46" i="15"/>
  <c r="EK46" i="15"/>
  <c r="EL46" i="15"/>
  <c r="EM46" i="15"/>
  <c r="EN46" i="15"/>
  <c r="EO46" i="15"/>
  <c r="EP46" i="15"/>
  <c r="EQ46" i="15"/>
  <c r="ER46" i="15"/>
  <c r="ES46" i="15"/>
  <c r="ET46" i="15"/>
  <c r="EU46" i="15"/>
  <c r="EV46" i="15"/>
  <c r="EW46" i="15"/>
  <c r="EX46" i="15"/>
  <c r="EY46" i="15"/>
  <c r="EZ46" i="15"/>
  <c r="FA46" i="15"/>
  <c r="FB46" i="15"/>
  <c r="FC46" i="15"/>
  <c r="FD46" i="15"/>
  <c r="FE46" i="15"/>
  <c r="FF46" i="15"/>
  <c r="FG46" i="15"/>
  <c r="FH46" i="15"/>
  <c r="FI46" i="15"/>
  <c r="FJ46" i="15"/>
  <c r="FK46" i="15"/>
  <c r="FL46" i="15"/>
  <c r="FM46" i="15"/>
  <c r="FN46" i="15"/>
  <c r="FO46" i="15"/>
  <c r="FP46" i="15"/>
  <c r="FQ46" i="15"/>
  <c r="FR46" i="15"/>
  <c r="FS46" i="15"/>
  <c r="FT46" i="15"/>
  <c r="FU46" i="15"/>
  <c r="FV46" i="15"/>
  <c r="FW46" i="15"/>
  <c r="FX46" i="15"/>
  <c r="FY46" i="15"/>
  <c r="FZ46" i="15"/>
  <c r="GA46" i="15"/>
  <c r="GB46" i="15"/>
  <c r="GC46" i="15"/>
  <c r="GD46" i="15"/>
  <c r="GE46" i="15"/>
  <c r="GF46" i="15"/>
  <c r="GG46" i="15"/>
  <c r="GH46" i="15"/>
  <c r="GI46" i="15"/>
  <c r="GJ46" i="15"/>
  <c r="GK46" i="15"/>
  <c r="GL46" i="15"/>
  <c r="GM46" i="15"/>
  <c r="GN46" i="15"/>
  <c r="GO46" i="15"/>
  <c r="GP46" i="15"/>
  <c r="GQ46" i="15"/>
  <c r="GR46" i="15"/>
  <c r="GS46" i="15"/>
  <c r="GT46" i="15"/>
  <c r="GU46" i="15"/>
  <c r="GV46" i="15"/>
  <c r="GW46" i="15"/>
  <c r="GX46" i="15"/>
  <c r="GY46" i="15"/>
  <c r="GZ46" i="15"/>
  <c r="HA46" i="15"/>
  <c r="HB46" i="15"/>
  <c r="HC46" i="15"/>
  <c r="HD46" i="15"/>
  <c r="HE46" i="15"/>
  <c r="HF46" i="15"/>
  <c r="HG46" i="15"/>
  <c r="HH46" i="15"/>
  <c r="HI46" i="15"/>
  <c r="HJ46" i="15"/>
  <c r="HK46" i="15"/>
  <c r="HL46" i="15"/>
  <c r="HM46" i="15"/>
  <c r="HN46" i="15"/>
  <c r="HO46" i="15"/>
  <c r="HP46" i="15"/>
  <c r="HQ46" i="15"/>
  <c r="HR46" i="15"/>
  <c r="HS46" i="15"/>
  <c r="HT46" i="15"/>
  <c r="HU46" i="15"/>
  <c r="HV46" i="15"/>
  <c r="HW46" i="15"/>
  <c r="IH46" i="15"/>
  <c r="II46" i="15"/>
  <c r="IJ46" i="15"/>
  <c r="IK46" i="15"/>
  <c r="IL46" i="15"/>
  <c r="IM46" i="15"/>
  <c r="IN46" i="15"/>
  <c r="IO46" i="15"/>
  <c r="IP46" i="15"/>
  <c r="IQ46" i="15"/>
  <c r="IR46" i="15"/>
  <c r="IS46" i="15"/>
  <c r="IT46" i="15"/>
  <c r="IU46" i="15"/>
  <c r="IV46" i="15"/>
  <c r="A47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X47" i="15"/>
  <c r="Y47" i="15"/>
  <c r="Z47" i="15"/>
  <c r="AA47" i="15"/>
  <c r="AB47" i="15"/>
  <c r="AC47" i="15"/>
  <c r="AD47" i="15"/>
  <c r="AE47" i="15"/>
  <c r="AF47" i="15"/>
  <c r="AG47" i="15"/>
  <c r="AH47" i="15"/>
  <c r="AI47" i="15"/>
  <c r="AJ47" i="15"/>
  <c r="AK47" i="15"/>
  <c r="AL47" i="15"/>
  <c r="AM47" i="15"/>
  <c r="AN47" i="15"/>
  <c r="AO47" i="15"/>
  <c r="AP47" i="15"/>
  <c r="AQ47" i="15"/>
  <c r="AR47" i="15"/>
  <c r="AS47" i="15"/>
  <c r="AT47" i="15"/>
  <c r="AU47" i="15"/>
  <c r="AV47" i="15"/>
  <c r="AW47" i="15"/>
  <c r="AX47" i="15"/>
  <c r="AY47" i="15"/>
  <c r="AZ47" i="15"/>
  <c r="BA47" i="15"/>
  <c r="BB47" i="15"/>
  <c r="BC47" i="15"/>
  <c r="BD47" i="15"/>
  <c r="BE47" i="15"/>
  <c r="BF47" i="15"/>
  <c r="BG47" i="15"/>
  <c r="A48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Q48" i="15"/>
  <c r="R48" i="15"/>
  <c r="S48" i="15"/>
  <c r="T48" i="15"/>
  <c r="U48" i="15"/>
  <c r="V48" i="15"/>
  <c r="W48" i="15"/>
  <c r="X48" i="15"/>
  <c r="Y48" i="15"/>
  <c r="Z48" i="15"/>
  <c r="AA48" i="15"/>
  <c r="AB48" i="15"/>
  <c r="AC48" i="15"/>
  <c r="AD48" i="15"/>
  <c r="AE48" i="15"/>
  <c r="AF48" i="15"/>
  <c r="AG48" i="15"/>
  <c r="AH48" i="15"/>
  <c r="AI48" i="15"/>
  <c r="AJ48" i="15"/>
  <c r="AK48" i="15"/>
  <c r="AL48" i="15"/>
  <c r="AM48" i="15"/>
  <c r="AN48" i="15"/>
  <c r="AO48" i="15"/>
  <c r="AP48" i="15"/>
  <c r="AQ48" i="15"/>
  <c r="AR48" i="15"/>
  <c r="AS48" i="15"/>
  <c r="AT48" i="15"/>
  <c r="AU48" i="15"/>
  <c r="AV48" i="15"/>
  <c r="AW48" i="15"/>
  <c r="AX48" i="15"/>
  <c r="AY48" i="15"/>
  <c r="AZ48" i="15"/>
  <c r="BA48" i="15"/>
  <c r="BB48" i="15"/>
  <c r="BC48" i="15"/>
  <c r="BD48" i="15"/>
  <c r="BE48" i="15"/>
  <c r="BF48" i="15"/>
  <c r="BG48" i="15"/>
  <c r="BH48" i="15"/>
  <c r="BI48" i="15"/>
  <c r="BJ48" i="15"/>
  <c r="BK48" i="15"/>
  <c r="BL48" i="15"/>
  <c r="BM48" i="15"/>
  <c r="BN48" i="15"/>
  <c r="BO48" i="15"/>
  <c r="BP48" i="15"/>
  <c r="BQ48" i="15"/>
  <c r="BR48" i="15"/>
  <c r="BS48" i="15"/>
  <c r="BT48" i="15"/>
  <c r="BU48" i="15"/>
  <c r="BV48" i="15"/>
  <c r="BW48" i="15"/>
  <c r="BX48" i="15"/>
  <c r="BY48" i="15"/>
  <c r="BZ48" i="15"/>
  <c r="CA48" i="15"/>
  <c r="CB48" i="15"/>
  <c r="CC48" i="15"/>
  <c r="CD48" i="15"/>
  <c r="CE48" i="15"/>
  <c r="CF48" i="15"/>
  <c r="CG48" i="15"/>
  <c r="CH48" i="15"/>
  <c r="CI48" i="15"/>
  <c r="CJ48" i="15"/>
  <c r="CK48" i="15"/>
  <c r="CL48" i="15"/>
  <c r="CM48" i="15"/>
  <c r="CN48" i="15"/>
  <c r="CO48" i="15"/>
  <c r="CP48" i="15"/>
  <c r="CQ48" i="15"/>
  <c r="CR48" i="15"/>
  <c r="CS48" i="15"/>
  <c r="CT48" i="15"/>
  <c r="CU48" i="15"/>
  <c r="CV48" i="15"/>
  <c r="CW48" i="15"/>
  <c r="CX48" i="15"/>
  <c r="CY48" i="15"/>
  <c r="CZ48" i="15"/>
  <c r="DA48" i="15"/>
  <c r="DB48" i="15"/>
  <c r="DC48" i="15"/>
  <c r="DD48" i="15"/>
  <c r="DE48" i="15"/>
  <c r="DF48" i="15"/>
  <c r="DG48" i="15"/>
  <c r="DH48" i="15"/>
  <c r="DI48" i="15"/>
  <c r="DJ48" i="15"/>
  <c r="DK48" i="15"/>
  <c r="DL48" i="15"/>
  <c r="DM48" i="15"/>
  <c r="DN48" i="15"/>
  <c r="DO48" i="15"/>
  <c r="DP48" i="15"/>
  <c r="DQ48" i="15"/>
  <c r="DR48" i="15"/>
  <c r="DS48" i="15"/>
  <c r="DT48" i="15"/>
  <c r="DU48" i="15"/>
  <c r="DV48" i="15"/>
  <c r="DW48" i="15"/>
  <c r="DX48" i="15"/>
  <c r="DY48" i="15"/>
  <c r="DZ48" i="15"/>
  <c r="EA48" i="15"/>
  <c r="EB48" i="15"/>
  <c r="EC48" i="15"/>
  <c r="ED48" i="15"/>
  <c r="EE48" i="15"/>
  <c r="EF48" i="15"/>
  <c r="EG48" i="15"/>
  <c r="EH48" i="15"/>
  <c r="EI48" i="15"/>
  <c r="EJ48" i="15"/>
  <c r="EK48" i="15"/>
  <c r="EL48" i="15"/>
  <c r="EM48" i="15"/>
  <c r="EN48" i="15"/>
  <c r="EO48" i="15"/>
  <c r="EP48" i="15"/>
  <c r="EQ48" i="15"/>
  <c r="ER48" i="15"/>
  <c r="ES48" i="15"/>
  <c r="ET48" i="15"/>
  <c r="EU48" i="15"/>
  <c r="EV48" i="15"/>
  <c r="EW48" i="15"/>
  <c r="EX48" i="15"/>
  <c r="EY48" i="15"/>
  <c r="EZ48" i="15"/>
  <c r="FA48" i="15"/>
  <c r="FB48" i="15"/>
  <c r="FC48" i="15"/>
  <c r="FD48" i="15"/>
  <c r="FE48" i="15"/>
  <c r="FF48" i="15"/>
  <c r="FG48" i="15"/>
  <c r="FH48" i="15"/>
  <c r="FI48" i="15"/>
  <c r="FJ48" i="15"/>
  <c r="FK48" i="15"/>
  <c r="FL48" i="15"/>
  <c r="FM48" i="15"/>
  <c r="FN48" i="15"/>
  <c r="FO48" i="15"/>
  <c r="FP48" i="15"/>
  <c r="FQ48" i="15"/>
  <c r="FR48" i="15"/>
  <c r="FS48" i="15"/>
  <c r="FT48" i="15"/>
  <c r="FU48" i="15"/>
  <c r="FV48" i="15"/>
  <c r="FW48" i="15"/>
  <c r="FX48" i="15"/>
  <c r="FY48" i="15"/>
  <c r="FZ48" i="15"/>
  <c r="GA48" i="15"/>
  <c r="GB48" i="15"/>
  <c r="GC48" i="15"/>
  <c r="GD48" i="15"/>
  <c r="GE48" i="15"/>
  <c r="GF48" i="15"/>
  <c r="GG48" i="15"/>
  <c r="GH48" i="15"/>
  <c r="GI48" i="15"/>
  <c r="GJ48" i="15"/>
  <c r="GK48" i="15"/>
  <c r="GL48" i="15"/>
  <c r="GM48" i="15"/>
  <c r="GN48" i="15"/>
  <c r="GO48" i="15"/>
  <c r="GP48" i="15"/>
  <c r="GQ48" i="15"/>
  <c r="GR48" i="15"/>
  <c r="GS48" i="15"/>
  <c r="GT48" i="15"/>
  <c r="GU48" i="15"/>
  <c r="GV48" i="15"/>
  <c r="GW48" i="15"/>
  <c r="GX48" i="15"/>
  <c r="GY48" i="15"/>
  <c r="GZ48" i="15"/>
  <c r="HA48" i="15"/>
  <c r="HB48" i="15"/>
  <c r="HC48" i="15"/>
  <c r="HD48" i="15"/>
  <c r="HE48" i="15"/>
  <c r="HF48" i="15"/>
  <c r="HG48" i="15"/>
  <c r="HH48" i="15"/>
  <c r="HI48" i="15"/>
  <c r="HJ48" i="15"/>
  <c r="HK48" i="15"/>
  <c r="HL48" i="15"/>
  <c r="HM48" i="15"/>
  <c r="HN48" i="15"/>
  <c r="HO48" i="15"/>
  <c r="HP48" i="15"/>
  <c r="HQ48" i="15"/>
  <c r="HR48" i="15"/>
  <c r="HS48" i="15"/>
  <c r="HT48" i="15"/>
  <c r="HU48" i="15"/>
  <c r="HV48" i="15"/>
  <c r="HW48" i="15"/>
  <c r="HX48" i="15"/>
  <c r="HY48" i="15"/>
  <c r="HZ48" i="15"/>
  <c r="IA48" i="15"/>
  <c r="IB48" i="15"/>
  <c r="IC48" i="15"/>
  <c r="ID48" i="15"/>
  <c r="IE48" i="15"/>
  <c r="IF48" i="15"/>
  <c r="IG48" i="15"/>
  <c r="IH48" i="15"/>
  <c r="II48" i="15"/>
  <c r="IJ48" i="15"/>
  <c r="IK48" i="15"/>
  <c r="IL48" i="15"/>
  <c r="IM48" i="15"/>
  <c r="IN48" i="15"/>
  <c r="IO48" i="15"/>
  <c r="IP48" i="15"/>
  <c r="IQ48" i="15"/>
  <c r="IR48" i="15"/>
  <c r="IS48" i="15"/>
  <c r="IT48" i="15"/>
  <c r="IU48" i="15"/>
  <c r="IV48" i="15"/>
  <c r="A49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Q49" i="15"/>
  <c r="R49" i="15"/>
  <c r="S49" i="15"/>
  <c r="T49" i="15"/>
  <c r="U49" i="15"/>
  <c r="V49" i="15"/>
  <c r="W49" i="15"/>
  <c r="X49" i="15"/>
  <c r="Y49" i="15"/>
  <c r="Z49" i="15"/>
  <c r="AA49" i="15"/>
  <c r="AB49" i="15"/>
  <c r="AC49" i="15"/>
  <c r="AD49" i="15"/>
  <c r="AE49" i="15"/>
  <c r="AF49" i="15"/>
  <c r="AG49" i="15"/>
  <c r="AH49" i="15"/>
  <c r="AI49" i="15"/>
  <c r="AJ49" i="15"/>
  <c r="AK49" i="15"/>
  <c r="AL49" i="15"/>
  <c r="AM49" i="15"/>
  <c r="AN49" i="15"/>
  <c r="AO49" i="15"/>
  <c r="AP49" i="15"/>
  <c r="AQ49" i="15"/>
  <c r="AR49" i="15"/>
  <c r="AS49" i="15"/>
  <c r="AT49" i="15"/>
  <c r="AU49" i="15"/>
  <c r="AV49" i="15"/>
  <c r="AW49" i="15"/>
  <c r="AX49" i="15"/>
  <c r="AY49" i="15"/>
  <c r="AZ49" i="15"/>
  <c r="BA49" i="15"/>
  <c r="BB49" i="15"/>
  <c r="BC49" i="15"/>
  <c r="BD49" i="15"/>
  <c r="BE49" i="15"/>
  <c r="BF49" i="15"/>
  <c r="BG49" i="15"/>
  <c r="BH49" i="15"/>
  <c r="BI49" i="15"/>
  <c r="BJ49" i="15"/>
  <c r="BK49" i="15"/>
  <c r="BL49" i="15"/>
  <c r="BM49" i="15"/>
  <c r="BN49" i="15"/>
  <c r="BO49" i="15"/>
  <c r="BP49" i="15"/>
  <c r="BQ49" i="15"/>
  <c r="BR49" i="15"/>
  <c r="BS49" i="15"/>
  <c r="BT49" i="15"/>
  <c r="BU49" i="15"/>
  <c r="A50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Q50" i="15"/>
  <c r="R50" i="15"/>
  <c r="S50" i="15"/>
  <c r="T50" i="15"/>
  <c r="U50" i="15"/>
  <c r="V50" i="15"/>
  <c r="W50" i="15"/>
  <c r="X50" i="15"/>
  <c r="Y50" i="15"/>
  <c r="Z50" i="15"/>
  <c r="AA50" i="15"/>
  <c r="AB50" i="15"/>
  <c r="AC50" i="15"/>
  <c r="AD50" i="15"/>
  <c r="AE50" i="15"/>
  <c r="AF50" i="15"/>
  <c r="AG50" i="15"/>
  <c r="AH50" i="15"/>
  <c r="AI50" i="15"/>
  <c r="AJ50" i="15"/>
  <c r="AK50" i="15"/>
  <c r="AL50" i="15"/>
  <c r="AM50" i="15"/>
  <c r="AN50" i="15"/>
  <c r="AO50" i="15"/>
  <c r="AP50" i="15"/>
  <c r="AQ50" i="15"/>
  <c r="AR50" i="15"/>
  <c r="AS50" i="15"/>
  <c r="AT50" i="15"/>
  <c r="AU50" i="15"/>
  <c r="AV50" i="15"/>
  <c r="AW50" i="15"/>
  <c r="AX50" i="15"/>
  <c r="AY50" i="15"/>
  <c r="AZ50" i="15"/>
  <c r="BA50" i="15"/>
  <c r="BB50" i="15"/>
  <c r="BC50" i="15"/>
  <c r="BD50" i="15"/>
  <c r="BE50" i="15"/>
  <c r="BF50" i="15"/>
  <c r="BG50" i="15"/>
  <c r="BH50" i="15"/>
  <c r="BI50" i="15"/>
  <c r="BJ50" i="15"/>
  <c r="BK50" i="15"/>
  <c r="BL50" i="15"/>
  <c r="BM50" i="15"/>
  <c r="BN50" i="15"/>
  <c r="BO50" i="15"/>
  <c r="BP50" i="15"/>
  <c r="BQ50" i="15"/>
  <c r="BR50" i="15"/>
  <c r="BS50" i="15"/>
  <c r="BT50" i="15"/>
  <c r="BU50" i="15"/>
  <c r="BV50" i="15"/>
  <c r="BW50" i="15"/>
  <c r="BX50" i="15"/>
  <c r="BY50" i="15"/>
  <c r="BZ50" i="15"/>
  <c r="CA50" i="15"/>
  <c r="CB50" i="15"/>
  <c r="CC50" i="15"/>
  <c r="CD50" i="15"/>
  <c r="CE50" i="15"/>
  <c r="CF50" i="15"/>
  <c r="CG50" i="15"/>
  <c r="CH50" i="15"/>
  <c r="CI50" i="15"/>
  <c r="CJ50" i="15"/>
  <c r="CK50" i="15"/>
  <c r="CL50" i="15"/>
  <c r="CM50" i="15"/>
  <c r="CN50" i="15"/>
  <c r="CO50" i="15"/>
  <c r="CP50" i="15"/>
  <c r="CQ50" i="15"/>
  <c r="CR50" i="15"/>
  <c r="CS50" i="15"/>
  <c r="CT50" i="15"/>
  <c r="CU50" i="15"/>
  <c r="CV50" i="15"/>
  <c r="CW50" i="15"/>
  <c r="CX50" i="15"/>
  <c r="CY50" i="15"/>
  <c r="CZ50" i="15"/>
  <c r="DA50" i="15"/>
  <c r="DB50" i="15"/>
  <c r="DC50" i="15"/>
  <c r="DD50" i="15"/>
  <c r="DE50" i="15"/>
  <c r="DG50" i="15"/>
  <c r="DI50" i="15"/>
  <c r="DJ50" i="15"/>
  <c r="DK50" i="15"/>
  <c r="DL50" i="15"/>
  <c r="DM50" i="15"/>
  <c r="DN50" i="15"/>
  <c r="DO50" i="15"/>
  <c r="DP50" i="15"/>
  <c r="DQ50" i="15"/>
  <c r="DS50" i="15"/>
  <c r="DU50" i="15"/>
  <c r="DW50" i="15"/>
  <c r="DX50" i="15"/>
  <c r="DY50" i="15"/>
  <c r="DZ50" i="15"/>
  <c r="EA50" i="15"/>
  <c r="EB50" i="15"/>
  <c r="EC50" i="15"/>
  <c r="ED50" i="15"/>
  <c r="EE50" i="15"/>
  <c r="EF50" i="15"/>
  <c r="EG50" i="15"/>
  <c r="EH50" i="15"/>
  <c r="EI50" i="15"/>
  <c r="EJ50" i="15"/>
  <c r="EK50" i="15"/>
  <c r="EL50" i="15"/>
  <c r="EM50" i="15"/>
  <c r="EN50" i="15"/>
  <c r="EO50" i="15"/>
  <c r="EP50" i="15"/>
  <c r="EQ50" i="15"/>
  <c r="ER50" i="15"/>
  <c r="ES50" i="15"/>
  <c r="ET50" i="15"/>
  <c r="EU50" i="15"/>
  <c r="EV50" i="15"/>
  <c r="EW50" i="15"/>
  <c r="EX50" i="15"/>
  <c r="EY50" i="15"/>
  <c r="EZ50" i="15"/>
  <c r="FA50" i="15"/>
  <c r="FB50" i="15"/>
  <c r="FC50" i="15"/>
  <c r="FD50" i="15"/>
  <c r="FE50" i="15"/>
  <c r="FF50" i="15"/>
  <c r="FG50" i="15"/>
  <c r="FH50" i="15"/>
  <c r="FI50" i="15"/>
  <c r="FJ50" i="15"/>
  <c r="FK50" i="15"/>
  <c r="FL50" i="15"/>
  <c r="FM50" i="15"/>
  <c r="FN50" i="15"/>
  <c r="FO50" i="15"/>
  <c r="FP50" i="15"/>
  <c r="FQ50" i="15"/>
  <c r="FR50" i="15"/>
  <c r="FS50" i="15"/>
  <c r="FT50" i="15"/>
  <c r="FU50" i="15"/>
  <c r="FV50" i="15"/>
  <c r="FW50" i="15"/>
  <c r="FX50" i="15"/>
  <c r="FY50" i="15"/>
  <c r="FZ50" i="15"/>
  <c r="GA50" i="15"/>
  <c r="GB50" i="15"/>
  <c r="GC50" i="15"/>
  <c r="GD50" i="15"/>
  <c r="GE50" i="15"/>
  <c r="GF50" i="15"/>
  <c r="GG50" i="15"/>
  <c r="GH50" i="15"/>
  <c r="GI50" i="15"/>
  <c r="GJ50" i="15"/>
  <c r="GK50" i="15"/>
  <c r="GL50" i="15"/>
  <c r="GM50" i="15"/>
  <c r="GN50" i="15"/>
  <c r="GO50" i="15"/>
  <c r="GP50" i="15"/>
  <c r="GQ50" i="15"/>
  <c r="GR50" i="15"/>
  <c r="GS50" i="15"/>
  <c r="GT50" i="15"/>
  <c r="GU50" i="15"/>
  <c r="GV50" i="15"/>
  <c r="GW50" i="15"/>
  <c r="GX50" i="15"/>
  <c r="GY50" i="15"/>
  <c r="GZ50" i="15"/>
  <c r="HA50" i="15"/>
  <c r="HB50" i="15"/>
  <c r="HC50" i="15"/>
  <c r="HD50" i="15"/>
  <c r="HE50" i="15"/>
  <c r="HF50" i="15"/>
  <c r="HG50" i="15"/>
  <c r="HH50" i="15"/>
  <c r="HI50" i="15"/>
  <c r="HJ50" i="15"/>
  <c r="HK50" i="15"/>
  <c r="HL50" i="15"/>
  <c r="HM50" i="15"/>
  <c r="HN50" i="15"/>
  <c r="HO50" i="15"/>
  <c r="HP50" i="15"/>
  <c r="HQ50" i="15"/>
  <c r="HR50" i="15"/>
  <c r="HS50" i="15"/>
  <c r="HT50" i="15"/>
  <c r="HU50" i="15"/>
  <c r="HV50" i="15"/>
  <c r="HW50" i="15"/>
  <c r="HX50" i="15"/>
  <c r="HY50" i="15"/>
  <c r="HZ50" i="15"/>
  <c r="IA50" i="15"/>
  <c r="IB50" i="15"/>
  <c r="IC50" i="15"/>
  <c r="ID50" i="15"/>
  <c r="IE50" i="15"/>
  <c r="IF50" i="15"/>
  <c r="IG50" i="15"/>
  <c r="IH50" i="15"/>
  <c r="II50" i="15"/>
  <c r="IJ50" i="15"/>
  <c r="IK50" i="15"/>
  <c r="IL50" i="15"/>
  <c r="IM50" i="15"/>
  <c r="IN50" i="15"/>
  <c r="IO50" i="15"/>
  <c r="IP50" i="15"/>
  <c r="IQ50" i="15"/>
  <c r="IR50" i="15"/>
  <c r="IS50" i="15"/>
  <c r="IT50" i="15"/>
  <c r="IU50" i="15"/>
  <c r="IV50" i="15"/>
  <c r="A51" i="15"/>
  <c r="B51" i="15"/>
  <c r="C51" i="15"/>
  <c r="D51" i="15"/>
  <c r="E51" i="15"/>
  <c r="F51" i="15"/>
  <c r="G51" i="15"/>
  <c r="H51" i="15"/>
  <c r="I51" i="15"/>
  <c r="J51" i="15"/>
  <c r="K51" i="15"/>
  <c r="L51" i="15"/>
  <c r="A52" i="15"/>
  <c r="B52" i="15"/>
  <c r="C52" i="15"/>
  <c r="D52" i="15"/>
  <c r="E52" i="15"/>
  <c r="F52" i="15"/>
  <c r="G52" i="15"/>
  <c r="H52" i="15"/>
  <c r="I52" i="15"/>
  <c r="J52" i="15"/>
  <c r="K52" i="15"/>
  <c r="L52" i="15"/>
  <c r="A53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Q53" i="15"/>
  <c r="R53" i="15"/>
  <c r="S53" i="15"/>
  <c r="T53" i="15"/>
  <c r="U53" i="15"/>
  <c r="V53" i="15"/>
  <c r="W53" i="15"/>
  <c r="X53" i="15"/>
  <c r="Y53" i="15"/>
  <c r="Z53" i="15"/>
  <c r="AA53" i="15"/>
  <c r="AB53" i="15"/>
  <c r="AC53" i="15"/>
  <c r="AD53" i="15"/>
  <c r="AE53" i="15"/>
  <c r="AF53" i="15"/>
  <c r="AG53" i="15"/>
  <c r="AH53" i="15"/>
  <c r="AI53" i="15"/>
  <c r="AJ53" i="15"/>
  <c r="AK53" i="15"/>
  <c r="AL53" i="15"/>
  <c r="AM53" i="15"/>
  <c r="AN53" i="15"/>
  <c r="AO53" i="15"/>
  <c r="AP53" i="15"/>
  <c r="AQ53" i="15"/>
  <c r="AR53" i="15"/>
  <c r="AS53" i="15"/>
  <c r="AT53" i="15"/>
  <c r="AU53" i="15"/>
  <c r="AV53" i="15"/>
  <c r="AW53" i="15"/>
  <c r="AX53" i="15"/>
  <c r="AY53" i="15"/>
  <c r="AZ53" i="15"/>
  <c r="BA53" i="15"/>
  <c r="BB53" i="15"/>
  <c r="BC53" i="15"/>
  <c r="BD53" i="15"/>
  <c r="BE53" i="15"/>
  <c r="BF53" i="15"/>
  <c r="BG53" i="15"/>
  <c r="BH53" i="15"/>
  <c r="BI53" i="15"/>
  <c r="BJ53" i="15"/>
  <c r="BK53" i="15"/>
  <c r="BL53" i="15"/>
  <c r="BM53" i="15"/>
  <c r="BN53" i="15"/>
  <c r="BO53" i="15"/>
  <c r="BP53" i="15"/>
  <c r="BQ53" i="15"/>
  <c r="BR53" i="15"/>
  <c r="BS53" i="15"/>
  <c r="BT53" i="15"/>
  <c r="BU53" i="15"/>
  <c r="BV53" i="15"/>
  <c r="BW53" i="15"/>
  <c r="BX53" i="15"/>
  <c r="BY53" i="15"/>
  <c r="BZ53" i="15"/>
  <c r="CA53" i="15"/>
  <c r="CB53" i="15"/>
  <c r="CC53" i="15"/>
  <c r="CD53" i="15"/>
  <c r="CE53" i="15"/>
  <c r="CF53" i="15"/>
  <c r="CG53" i="15"/>
  <c r="CH53" i="15"/>
  <c r="CI53" i="15"/>
  <c r="CJ53" i="15"/>
  <c r="CK53" i="15"/>
  <c r="CL53" i="15"/>
  <c r="CM53" i="15"/>
  <c r="CN53" i="15"/>
  <c r="CO53" i="15"/>
  <c r="CP53" i="15"/>
  <c r="CQ53" i="15"/>
  <c r="CR53" i="15"/>
  <c r="CS53" i="15"/>
  <c r="CT53" i="15"/>
  <c r="CU53" i="15"/>
  <c r="CV53" i="15"/>
  <c r="CW53" i="15"/>
  <c r="CX53" i="15"/>
  <c r="CY53" i="15"/>
  <c r="CZ53" i="15"/>
  <c r="DA53" i="15"/>
  <c r="DB53" i="15"/>
  <c r="DC53" i="15"/>
  <c r="DD53" i="15"/>
  <c r="DE53" i="15"/>
  <c r="DF53" i="15"/>
  <c r="DG53" i="15"/>
  <c r="DH53" i="15"/>
  <c r="DI53" i="15"/>
  <c r="DJ53" i="15"/>
  <c r="DK53" i="15"/>
  <c r="DL53" i="15"/>
  <c r="DM53" i="15"/>
  <c r="DN53" i="15"/>
  <c r="DO53" i="15"/>
  <c r="DP53" i="15"/>
  <c r="DQ53" i="15"/>
  <c r="DR53" i="15"/>
  <c r="DS53" i="15"/>
  <c r="DT53" i="15"/>
  <c r="DU53" i="15"/>
  <c r="DV53" i="15"/>
  <c r="DW53" i="15"/>
  <c r="DX53" i="15"/>
  <c r="DY53" i="15"/>
  <c r="DZ53" i="15"/>
  <c r="EA53" i="15"/>
  <c r="EB53" i="15"/>
  <c r="EC53" i="15"/>
  <c r="ED53" i="15"/>
  <c r="EE53" i="15"/>
  <c r="EF53" i="15"/>
  <c r="EG53" i="15"/>
  <c r="EH53" i="15"/>
  <c r="EI53" i="15"/>
  <c r="EJ53" i="15"/>
  <c r="EK53" i="15"/>
  <c r="EL53" i="15"/>
  <c r="EM53" i="15"/>
  <c r="EN53" i="15"/>
  <c r="EO53" i="15"/>
  <c r="EP53" i="15"/>
  <c r="EQ53" i="15"/>
  <c r="ER53" i="15"/>
  <c r="ES53" i="15"/>
  <c r="ET53" i="15"/>
  <c r="EU53" i="15"/>
  <c r="EV53" i="15"/>
  <c r="EW53" i="15"/>
  <c r="EX53" i="15"/>
  <c r="EY53" i="15"/>
  <c r="EZ53" i="15"/>
  <c r="FA53" i="15"/>
  <c r="FB53" i="15"/>
  <c r="FC53" i="15"/>
  <c r="FD53" i="15"/>
  <c r="FE53" i="15"/>
  <c r="FF53" i="15"/>
  <c r="FG53" i="15"/>
  <c r="FH53" i="15"/>
  <c r="FI53" i="15"/>
  <c r="FJ53" i="15"/>
  <c r="FK53" i="15"/>
  <c r="FL53" i="15"/>
  <c r="FM53" i="15"/>
  <c r="FN53" i="15"/>
  <c r="FO53" i="15"/>
  <c r="FP53" i="15"/>
  <c r="FQ53" i="15"/>
  <c r="FR53" i="15"/>
  <c r="FS53" i="15"/>
  <c r="FT53" i="15"/>
  <c r="FU53" i="15"/>
  <c r="FV53" i="15"/>
  <c r="FW53" i="15"/>
  <c r="FX53" i="15"/>
  <c r="FY53" i="15"/>
  <c r="FZ53" i="15"/>
  <c r="GA53" i="15"/>
  <c r="GB53" i="15"/>
  <c r="GC53" i="15"/>
  <c r="GD53" i="15"/>
  <c r="GE53" i="15"/>
  <c r="GF53" i="15"/>
  <c r="GG53" i="15"/>
  <c r="GH53" i="15"/>
  <c r="GI53" i="15"/>
  <c r="GJ53" i="15"/>
  <c r="GK53" i="15"/>
  <c r="GL53" i="15"/>
  <c r="GM53" i="15"/>
  <c r="GN53" i="15"/>
  <c r="GO53" i="15"/>
  <c r="GP53" i="15"/>
  <c r="GQ53" i="15"/>
  <c r="GR53" i="15"/>
  <c r="GS53" i="15"/>
  <c r="GT53" i="15"/>
  <c r="GU53" i="15"/>
  <c r="GV53" i="15"/>
  <c r="GW53" i="15"/>
  <c r="GX53" i="15"/>
  <c r="GY53" i="15"/>
  <c r="GZ53" i="15"/>
  <c r="HA53" i="15"/>
  <c r="HB53" i="15"/>
  <c r="HC53" i="15"/>
  <c r="HD53" i="15"/>
  <c r="HE53" i="15"/>
  <c r="HF53" i="15"/>
  <c r="HG53" i="15"/>
  <c r="HH53" i="15"/>
  <c r="HI53" i="15"/>
  <c r="HJ53" i="15"/>
  <c r="HK53" i="15"/>
  <c r="HL53" i="15"/>
  <c r="HM53" i="15"/>
  <c r="HN53" i="15"/>
  <c r="HO53" i="15"/>
  <c r="HP53" i="15"/>
  <c r="HQ53" i="15"/>
  <c r="HR53" i="15"/>
  <c r="HS53" i="15"/>
  <c r="HT53" i="15"/>
  <c r="HU53" i="15"/>
  <c r="HV53" i="15"/>
  <c r="HW53" i="15"/>
  <c r="HX53" i="15"/>
  <c r="HY53" i="15"/>
  <c r="HZ53" i="15"/>
  <c r="IA53" i="15"/>
  <c r="IB53" i="15"/>
  <c r="IC53" i="15"/>
  <c r="ID53" i="15"/>
  <c r="IE53" i="15"/>
  <c r="IF53" i="15"/>
  <c r="IG53" i="15"/>
  <c r="IH53" i="15"/>
  <c r="II53" i="15"/>
  <c r="IJ53" i="15"/>
  <c r="IK53" i="15"/>
  <c r="IL53" i="15"/>
  <c r="IM53" i="15"/>
  <c r="IN53" i="15"/>
  <c r="IO53" i="15"/>
  <c r="IP53" i="15"/>
  <c r="IQ53" i="15"/>
  <c r="IR53" i="15"/>
  <c r="IS53" i="15"/>
  <c r="IT53" i="15"/>
  <c r="IU53" i="15"/>
  <c r="IV53" i="15"/>
  <c r="A54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Q54" i="15"/>
  <c r="R54" i="15"/>
  <c r="S54" i="15"/>
  <c r="T54" i="15"/>
  <c r="U54" i="15"/>
  <c r="V54" i="15"/>
  <c r="W54" i="15"/>
  <c r="X54" i="15"/>
  <c r="Y54" i="15"/>
  <c r="Z54" i="15"/>
  <c r="AA54" i="15"/>
  <c r="AB54" i="15"/>
  <c r="AC54" i="15"/>
  <c r="AD54" i="15"/>
  <c r="AE54" i="15"/>
  <c r="AF54" i="15"/>
  <c r="AG54" i="15"/>
  <c r="AH54" i="15"/>
  <c r="AI54" i="15"/>
  <c r="AJ54" i="15"/>
  <c r="AK54" i="15"/>
  <c r="AL54" i="15"/>
  <c r="AM54" i="15"/>
  <c r="AN54" i="15"/>
  <c r="AO54" i="15"/>
  <c r="AP54" i="15"/>
  <c r="AQ54" i="15"/>
  <c r="AR54" i="15"/>
  <c r="AS54" i="15"/>
  <c r="AT54" i="15"/>
  <c r="AU54" i="15"/>
  <c r="AV54" i="15"/>
  <c r="AW54" i="15"/>
  <c r="AX54" i="15"/>
  <c r="AY54" i="15"/>
  <c r="AZ54" i="15"/>
  <c r="BA54" i="15"/>
  <c r="BB54" i="15"/>
  <c r="BC54" i="15"/>
  <c r="BD54" i="15"/>
  <c r="BE54" i="15"/>
  <c r="BF54" i="15"/>
  <c r="BG54" i="15"/>
  <c r="BH54" i="15"/>
  <c r="BI54" i="15"/>
  <c r="BJ54" i="15"/>
  <c r="BK54" i="15"/>
  <c r="BL54" i="15"/>
  <c r="BM54" i="15"/>
  <c r="BN54" i="15"/>
  <c r="BO54" i="15"/>
  <c r="BP54" i="15"/>
  <c r="BQ54" i="15"/>
  <c r="BR54" i="15"/>
  <c r="BS54" i="15"/>
  <c r="BT54" i="15"/>
  <c r="BU54" i="15"/>
  <c r="BV54" i="15"/>
  <c r="BW54" i="15"/>
  <c r="BX54" i="15"/>
  <c r="BY54" i="15"/>
  <c r="BZ54" i="15"/>
  <c r="CA54" i="15"/>
  <c r="CB54" i="15"/>
  <c r="CC54" i="15"/>
  <c r="CD54" i="15"/>
  <c r="CE54" i="15"/>
  <c r="CF54" i="15"/>
  <c r="CG54" i="15"/>
  <c r="CH54" i="15"/>
  <c r="CI54" i="15"/>
  <c r="CJ54" i="15"/>
  <c r="CK54" i="15"/>
  <c r="CL54" i="15"/>
  <c r="CM54" i="15"/>
  <c r="CN54" i="15"/>
  <c r="CO54" i="15"/>
  <c r="CP54" i="15"/>
  <c r="CQ54" i="15"/>
  <c r="CR54" i="15"/>
  <c r="CS54" i="15"/>
  <c r="CT54" i="15"/>
  <c r="CU54" i="15"/>
  <c r="CV54" i="15"/>
  <c r="CW54" i="15"/>
  <c r="CX54" i="15"/>
  <c r="CY54" i="15"/>
  <c r="CZ54" i="15"/>
  <c r="DA54" i="15"/>
  <c r="DB54" i="15"/>
  <c r="DC54" i="15"/>
  <c r="DD54" i="15"/>
  <c r="DE54" i="15"/>
  <c r="DF54" i="15"/>
  <c r="DG54" i="15"/>
  <c r="DH54" i="15"/>
  <c r="DI54" i="15"/>
  <c r="DJ54" i="15"/>
  <c r="DK54" i="15"/>
  <c r="DL54" i="15"/>
  <c r="DM54" i="15"/>
  <c r="DN54" i="15"/>
  <c r="DO54" i="15"/>
  <c r="DP54" i="15"/>
  <c r="DQ54" i="15"/>
  <c r="DR54" i="15"/>
  <c r="DS54" i="15"/>
  <c r="DT54" i="15"/>
  <c r="DU54" i="15"/>
  <c r="DV54" i="15"/>
  <c r="DW54" i="15"/>
  <c r="DX54" i="15"/>
  <c r="DY54" i="15"/>
  <c r="DZ54" i="15"/>
  <c r="EA54" i="15"/>
  <c r="EB54" i="15"/>
  <c r="EC54" i="15"/>
  <c r="ED54" i="15"/>
  <c r="EE54" i="15"/>
  <c r="EF54" i="15"/>
  <c r="EG54" i="15"/>
  <c r="EH54" i="15"/>
  <c r="EI54" i="15"/>
  <c r="EJ54" i="15"/>
  <c r="EK54" i="15"/>
  <c r="EL54" i="15"/>
  <c r="EM54" i="15"/>
  <c r="EN54" i="15"/>
  <c r="EO54" i="15"/>
  <c r="EP54" i="15"/>
  <c r="EQ54" i="15"/>
  <c r="ER54" i="15"/>
  <c r="ES54" i="15"/>
  <c r="ET54" i="15"/>
  <c r="EU54" i="15"/>
  <c r="EV54" i="15"/>
  <c r="EW54" i="15"/>
  <c r="EX54" i="15"/>
  <c r="EY54" i="15"/>
  <c r="EZ54" i="15"/>
  <c r="FA54" i="15"/>
  <c r="FB54" i="15"/>
  <c r="FC54" i="15"/>
  <c r="FD54" i="15"/>
  <c r="FE54" i="15"/>
  <c r="FF54" i="15"/>
  <c r="FG54" i="15"/>
  <c r="FH54" i="15"/>
  <c r="FI54" i="15"/>
  <c r="FJ54" i="15"/>
  <c r="FK54" i="15"/>
  <c r="FL54" i="15"/>
  <c r="FM54" i="15"/>
  <c r="FN54" i="15"/>
  <c r="FO54" i="15"/>
  <c r="FP54" i="15"/>
  <c r="FQ54" i="15"/>
  <c r="FR54" i="15"/>
  <c r="FS54" i="15"/>
  <c r="FT54" i="15"/>
  <c r="FU54" i="15"/>
  <c r="FV54" i="15"/>
  <c r="FW54" i="15"/>
  <c r="FX54" i="15"/>
  <c r="FY54" i="15"/>
  <c r="FZ54" i="15"/>
  <c r="GA54" i="15"/>
  <c r="GB54" i="15"/>
  <c r="GC54" i="15"/>
  <c r="GD54" i="15"/>
  <c r="GE54" i="15"/>
  <c r="GF54" i="15"/>
  <c r="GG54" i="15"/>
  <c r="GH54" i="15"/>
  <c r="GI54" i="15"/>
  <c r="GJ54" i="15"/>
  <c r="GK54" i="15"/>
  <c r="GL54" i="15"/>
  <c r="GM54" i="15"/>
  <c r="GN54" i="15"/>
  <c r="GO54" i="15"/>
  <c r="GP54" i="15"/>
  <c r="GQ54" i="15"/>
  <c r="GR54" i="15"/>
  <c r="GS54" i="15"/>
  <c r="GT54" i="15"/>
  <c r="GU54" i="15"/>
  <c r="GV54" i="15"/>
  <c r="GW54" i="15"/>
  <c r="GX54" i="15"/>
  <c r="GY54" i="15"/>
  <c r="GZ54" i="15"/>
  <c r="HA54" i="15"/>
  <c r="HB54" i="15"/>
  <c r="HC54" i="15"/>
  <c r="HD54" i="15"/>
  <c r="HE54" i="15"/>
  <c r="HF54" i="15"/>
  <c r="HG54" i="15"/>
  <c r="HH54" i="15"/>
  <c r="HI54" i="15"/>
  <c r="HJ54" i="15"/>
  <c r="HK54" i="15"/>
  <c r="HL54" i="15"/>
  <c r="HM54" i="15"/>
  <c r="HN54" i="15"/>
  <c r="HO54" i="15"/>
  <c r="HP54" i="15"/>
  <c r="HQ54" i="15"/>
  <c r="HR54" i="15"/>
  <c r="HS54" i="15"/>
  <c r="HT54" i="15"/>
  <c r="HU54" i="15"/>
  <c r="HV54" i="15"/>
  <c r="HW54" i="15"/>
  <c r="HX54" i="15"/>
  <c r="HY54" i="15"/>
  <c r="HZ54" i="15"/>
  <c r="IA54" i="15"/>
  <c r="IB54" i="15"/>
  <c r="IC54" i="15"/>
  <c r="ID54" i="15"/>
  <c r="IE54" i="15"/>
  <c r="IF54" i="15"/>
  <c r="IG54" i="15"/>
  <c r="IH54" i="15"/>
  <c r="II54" i="15"/>
  <c r="IJ54" i="15"/>
  <c r="IK54" i="15"/>
  <c r="IL54" i="15"/>
  <c r="IM54" i="15"/>
  <c r="IN54" i="15"/>
  <c r="IO54" i="15"/>
  <c r="IP54" i="15"/>
  <c r="IQ54" i="15"/>
  <c r="IR54" i="15"/>
  <c r="IS54" i="15"/>
  <c r="IT54" i="15"/>
  <c r="IU54" i="15"/>
  <c r="IV54" i="15"/>
  <c r="A55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A56" i="15"/>
  <c r="A57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Y57" i="15"/>
  <c r="Z57" i="15"/>
  <c r="AA57" i="15"/>
  <c r="AB57" i="15"/>
  <c r="AC57" i="15"/>
  <c r="AD57" i="15"/>
  <c r="AE57" i="15"/>
  <c r="AF57" i="15"/>
  <c r="AG57" i="15"/>
  <c r="A58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Q58" i="15"/>
  <c r="R58" i="15"/>
  <c r="S58" i="15"/>
  <c r="T58" i="15"/>
  <c r="U58" i="15"/>
  <c r="V58" i="15"/>
  <c r="W58" i="15"/>
  <c r="X58" i="15"/>
  <c r="Y58" i="15"/>
  <c r="Z58" i="15"/>
  <c r="AA58" i="15"/>
  <c r="AB58" i="15"/>
  <c r="AC58" i="15"/>
  <c r="AD58" i="15"/>
  <c r="AE58" i="15"/>
  <c r="AF58" i="15"/>
  <c r="AG58" i="15"/>
  <c r="AH58" i="15"/>
  <c r="AI58" i="15"/>
  <c r="AJ58" i="15"/>
  <c r="AK58" i="15"/>
  <c r="AL58" i="15"/>
  <c r="AM58" i="15"/>
  <c r="AN58" i="15"/>
  <c r="AO58" i="15"/>
  <c r="AP58" i="15"/>
  <c r="AQ58" i="15"/>
  <c r="AR58" i="15"/>
  <c r="AS58" i="15"/>
  <c r="AT58" i="15"/>
  <c r="AU58" i="15"/>
  <c r="AV58" i="15"/>
  <c r="AW58" i="15"/>
  <c r="AX58" i="15"/>
  <c r="AY58" i="15"/>
  <c r="AZ58" i="15"/>
  <c r="BA58" i="15"/>
  <c r="BB58" i="15"/>
  <c r="BC58" i="15"/>
  <c r="BD58" i="15"/>
  <c r="BE58" i="15"/>
  <c r="BF58" i="15"/>
  <c r="BG58" i="15"/>
  <c r="BH58" i="15"/>
  <c r="BI58" i="15"/>
  <c r="BJ58" i="15"/>
  <c r="BK58" i="15"/>
  <c r="BL58" i="15"/>
  <c r="BM58" i="15"/>
  <c r="BN58" i="15"/>
  <c r="BO58" i="15"/>
  <c r="BP58" i="15"/>
  <c r="BQ58" i="15"/>
  <c r="BR58" i="15"/>
  <c r="BS58" i="15"/>
  <c r="BT58" i="15"/>
  <c r="BU58" i="15"/>
  <c r="BV58" i="15"/>
  <c r="BW58" i="15"/>
  <c r="BX58" i="15"/>
  <c r="BY58" i="15"/>
  <c r="BZ58" i="15"/>
  <c r="CA58" i="15"/>
  <c r="CB58" i="15"/>
  <c r="CC58" i="15"/>
  <c r="CD58" i="15"/>
  <c r="CE58" i="15"/>
  <c r="CF58" i="15"/>
  <c r="CG58" i="15"/>
  <c r="CH58" i="15"/>
  <c r="CI58" i="15"/>
  <c r="CJ58" i="15"/>
  <c r="CK58" i="15"/>
  <c r="CL58" i="15"/>
  <c r="CM58" i="15"/>
  <c r="CN58" i="15"/>
  <c r="CO58" i="15"/>
  <c r="CP58" i="15"/>
  <c r="CQ58" i="15"/>
  <c r="CR58" i="15"/>
  <c r="CS58" i="15"/>
  <c r="CT58" i="15"/>
  <c r="CU58" i="15"/>
  <c r="CV58" i="15"/>
  <c r="CW58" i="15"/>
  <c r="CX58" i="15"/>
  <c r="CY58" i="15"/>
  <c r="CZ58" i="15"/>
  <c r="DA58" i="15"/>
  <c r="DB58" i="15"/>
  <c r="DC58" i="15"/>
  <c r="DD58" i="15"/>
  <c r="DE58" i="15"/>
  <c r="DF58" i="15"/>
  <c r="DG58" i="15"/>
  <c r="DH58" i="15"/>
  <c r="DI58" i="15"/>
  <c r="DJ58" i="15"/>
  <c r="DK58" i="15"/>
  <c r="DL58" i="15"/>
  <c r="DM58" i="15"/>
  <c r="DN58" i="15"/>
  <c r="DO58" i="15"/>
  <c r="DP58" i="15"/>
  <c r="DQ58" i="15"/>
  <c r="DR58" i="15"/>
  <c r="DS58" i="15"/>
  <c r="DT58" i="15"/>
  <c r="DU58" i="15"/>
  <c r="DV58" i="15"/>
  <c r="DW58" i="15"/>
  <c r="DX58" i="15"/>
  <c r="DY58" i="15"/>
  <c r="DZ58" i="15"/>
  <c r="EA58" i="15"/>
  <c r="EB58" i="15"/>
  <c r="EC58" i="15"/>
  <c r="ED58" i="15"/>
  <c r="EE58" i="15"/>
  <c r="EF58" i="15"/>
  <c r="EG58" i="15"/>
  <c r="EH58" i="15"/>
  <c r="EI58" i="15"/>
  <c r="EJ58" i="15"/>
  <c r="EK58" i="15"/>
  <c r="EL58" i="15"/>
  <c r="EM58" i="15"/>
  <c r="EN58" i="15"/>
  <c r="EO58" i="15"/>
  <c r="EP58" i="15"/>
  <c r="EQ58" i="15"/>
  <c r="ER58" i="15"/>
  <c r="ES58" i="15"/>
  <c r="ET58" i="15"/>
  <c r="EU58" i="15"/>
  <c r="EV58" i="15"/>
  <c r="EW58" i="15"/>
  <c r="EX58" i="15"/>
  <c r="EY58" i="15"/>
  <c r="EZ58" i="15"/>
  <c r="FA58" i="15"/>
  <c r="FB58" i="15"/>
  <c r="FC58" i="15"/>
  <c r="FD58" i="15"/>
  <c r="FE58" i="15"/>
  <c r="FF58" i="15"/>
  <c r="FG58" i="15"/>
  <c r="FH58" i="15"/>
  <c r="FI58" i="15"/>
  <c r="FJ58" i="15"/>
  <c r="FK58" i="15"/>
  <c r="FL58" i="15"/>
  <c r="FM58" i="15"/>
  <c r="FN58" i="15"/>
  <c r="FO58" i="15"/>
  <c r="FP58" i="15"/>
  <c r="FQ58" i="15"/>
  <c r="FR58" i="15"/>
  <c r="FS58" i="15"/>
  <c r="FT58" i="15"/>
  <c r="FU58" i="15"/>
  <c r="FV58" i="15"/>
  <c r="FW58" i="15"/>
  <c r="FX58" i="15"/>
  <c r="FY58" i="15"/>
  <c r="FZ58" i="15"/>
  <c r="GA58" i="15"/>
  <c r="GB58" i="15"/>
  <c r="GC58" i="15"/>
  <c r="GD58" i="15"/>
  <c r="GE58" i="15"/>
  <c r="GF58" i="15"/>
  <c r="GG58" i="15"/>
  <c r="GH58" i="15"/>
  <c r="GI58" i="15"/>
  <c r="GJ58" i="15"/>
  <c r="GK58" i="15"/>
  <c r="GL58" i="15"/>
  <c r="GM58" i="15"/>
  <c r="GN58" i="15"/>
  <c r="GO58" i="15"/>
  <c r="GP58" i="15"/>
  <c r="GQ58" i="15"/>
  <c r="GR58" i="15"/>
  <c r="GS58" i="15"/>
  <c r="GT58" i="15"/>
  <c r="GU58" i="15"/>
  <c r="GV58" i="15"/>
  <c r="GW58" i="15"/>
  <c r="GX58" i="15"/>
  <c r="GY58" i="15"/>
  <c r="GZ58" i="15"/>
  <c r="HA58" i="15"/>
  <c r="HB58" i="15"/>
  <c r="HC58" i="15"/>
  <c r="HD58" i="15"/>
  <c r="HE58" i="15"/>
  <c r="HF58" i="15"/>
  <c r="HG58" i="15"/>
  <c r="HH58" i="15"/>
  <c r="HI58" i="15"/>
  <c r="HJ58" i="15"/>
  <c r="HK58" i="15"/>
  <c r="HL58" i="15"/>
  <c r="HM58" i="15"/>
  <c r="HN58" i="15"/>
  <c r="HO58" i="15"/>
  <c r="HP58" i="15"/>
  <c r="HQ58" i="15"/>
  <c r="HR58" i="15"/>
  <c r="HS58" i="15"/>
  <c r="HT58" i="15"/>
  <c r="HU58" i="15"/>
  <c r="HV58" i="15"/>
  <c r="HW58" i="15"/>
  <c r="HX58" i="15"/>
  <c r="HY58" i="15"/>
  <c r="HZ58" i="15"/>
  <c r="IA58" i="15"/>
  <c r="IB58" i="15"/>
  <c r="IC58" i="15"/>
  <c r="ID58" i="15"/>
  <c r="IE58" i="15"/>
  <c r="IF58" i="15"/>
  <c r="IG58" i="15"/>
  <c r="IH58" i="15"/>
  <c r="II58" i="15"/>
  <c r="IJ58" i="15"/>
  <c r="IK58" i="15"/>
  <c r="IL58" i="15"/>
  <c r="IM58" i="15"/>
  <c r="IN58" i="15"/>
  <c r="IO58" i="15"/>
  <c r="IP58" i="15"/>
  <c r="IQ58" i="15"/>
  <c r="IR58" i="15"/>
  <c r="A59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Q59" i="15"/>
  <c r="R59" i="15"/>
  <c r="S59" i="15"/>
  <c r="T59" i="15"/>
  <c r="U59" i="15"/>
  <c r="V59" i="15"/>
  <c r="W59" i="15"/>
  <c r="X59" i="15"/>
  <c r="Y59" i="15"/>
  <c r="Z59" i="15"/>
  <c r="AA59" i="15"/>
  <c r="AB59" i="15"/>
  <c r="AC59" i="15"/>
  <c r="AD59" i="15"/>
  <c r="AE59" i="15"/>
  <c r="AF59" i="15"/>
  <c r="A60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X60" i="15"/>
  <c r="Y60" i="15"/>
  <c r="Z60" i="15"/>
  <c r="AA60" i="15"/>
  <c r="AB60" i="15"/>
  <c r="AC60" i="15"/>
  <c r="AD60" i="15"/>
  <c r="AE60" i="15"/>
  <c r="AF60" i="15"/>
  <c r="AG60" i="15"/>
  <c r="AH60" i="15"/>
  <c r="AI60" i="15"/>
  <c r="AJ60" i="15"/>
  <c r="AK60" i="15"/>
  <c r="AL60" i="15"/>
  <c r="AM60" i="15"/>
  <c r="AN60" i="15"/>
  <c r="AO60" i="15"/>
  <c r="AP60" i="15"/>
  <c r="AQ60" i="15"/>
  <c r="AR60" i="15"/>
  <c r="AS60" i="15"/>
  <c r="AT60" i="15"/>
  <c r="AU60" i="15"/>
  <c r="AV60" i="15"/>
  <c r="AW60" i="15"/>
  <c r="AX60" i="15"/>
  <c r="AY60" i="15"/>
  <c r="AZ60" i="15"/>
  <c r="BA60" i="15"/>
  <c r="BB60" i="15"/>
  <c r="BC60" i="15"/>
  <c r="BD60" i="15"/>
  <c r="BE60" i="15"/>
  <c r="BF60" i="15"/>
  <c r="BG60" i="15"/>
  <c r="BH60" i="15"/>
  <c r="BI60" i="15"/>
  <c r="BJ60" i="15"/>
  <c r="BK60" i="15"/>
  <c r="BL60" i="15"/>
  <c r="BM60" i="15"/>
  <c r="A61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X61" i="15"/>
  <c r="Y61" i="15"/>
  <c r="Z61" i="15"/>
  <c r="AA61" i="15"/>
  <c r="AB61" i="15"/>
  <c r="AC61" i="15"/>
  <c r="AD61" i="15"/>
  <c r="AE61" i="15"/>
  <c r="AF61" i="15"/>
  <c r="AG61" i="15"/>
  <c r="A62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X62" i="15"/>
  <c r="Y62" i="15"/>
  <c r="Z62" i="15"/>
  <c r="AA62" i="15"/>
  <c r="AB62" i="15"/>
  <c r="AC62" i="15"/>
  <c r="AD62" i="15"/>
  <c r="AE62" i="15"/>
  <c r="AF62" i="15"/>
  <c r="AG62" i="15"/>
  <c r="AH62" i="15"/>
  <c r="AI62" i="15"/>
  <c r="AJ62" i="15"/>
  <c r="AK62" i="15"/>
  <c r="AL62" i="15"/>
  <c r="AM62" i="15"/>
  <c r="AN62" i="15"/>
  <c r="AO62" i="15"/>
  <c r="AP62" i="15"/>
  <c r="AQ62" i="15"/>
  <c r="AR62" i="15"/>
  <c r="AS62" i="15"/>
  <c r="AT62" i="15"/>
  <c r="AU62" i="15"/>
  <c r="AV62" i="15"/>
  <c r="AW62" i="15"/>
  <c r="AX62" i="15"/>
  <c r="AY62" i="15"/>
  <c r="AZ62" i="15"/>
  <c r="BA62" i="15"/>
  <c r="BB62" i="15"/>
  <c r="BC62" i="15"/>
  <c r="BD62" i="15"/>
  <c r="BE62" i="15"/>
  <c r="BF62" i="15"/>
  <c r="BG62" i="15"/>
  <c r="BH62" i="15"/>
  <c r="BI62" i="15"/>
  <c r="BJ62" i="15"/>
  <c r="BK62" i="15"/>
  <c r="BL62" i="15"/>
  <c r="BM62" i="15"/>
  <c r="BN62" i="15"/>
  <c r="BO62" i="15"/>
  <c r="BP62" i="15"/>
  <c r="BQ62" i="15"/>
  <c r="BR62" i="15"/>
  <c r="BS62" i="15"/>
  <c r="BT62" i="15"/>
  <c r="BU62" i="15"/>
  <c r="BV62" i="15"/>
  <c r="BW62" i="15"/>
  <c r="BX62" i="15"/>
  <c r="BY62" i="15"/>
  <c r="BZ62" i="15"/>
  <c r="CA62" i="15"/>
  <c r="CB62" i="15"/>
  <c r="CC62" i="15"/>
  <c r="CD62" i="15"/>
  <c r="CE62" i="15"/>
  <c r="CF62" i="15"/>
  <c r="CG62" i="15"/>
  <c r="CH62" i="15"/>
  <c r="CI62" i="15"/>
  <c r="CJ62" i="15"/>
  <c r="CK62" i="15"/>
  <c r="CL62" i="15"/>
  <c r="CM62" i="15"/>
  <c r="CN62" i="15"/>
  <c r="CO62" i="15"/>
  <c r="CP62" i="15"/>
  <c r="CQ62" i="15"/>
  <c r="CR62" i="15"/>
  <c r="CS62" i="15"/>
  <c r="CT62" i="15"/>
  <c r="A63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X63" i="15"/>
  <c r="Y63" i="15"/>
  <c r="Z63" i="15"/>
  <c r="AA63" i="15"/>
  <c r="AB63" i="15"/>
  <c r="AC63" i="15"/>
  <c r="AD63" i="15"/>
  <c r="AE63" i="15"/>
  <c r="AF63" i="15"/>
  <c r="AG63" i="15"/>
  <c r="AH63" i="15"/>
  <c r="AI63" i="15"/>
  <c r="AJ63" i="15"/>
  <c r="AK63" i="15"/>
  <c r="AL63" i="15"/>
  <c r="AM63" i="15"/>
  <c r="AN63" i="15"/>
  <c r="AO63" i="15"/>
  <c r="AP63" i="15"/>
  <c r="AQ63" i="15"/>
  <c r="AR63" i="15"/>
  <c r="AS63" i="15"/>
  <c r="AT63" i="15"/>
  <c r="AU63" i="15"/>
  <c r="AV63" i="15"/>
  <c r="AW63" i="15"/>
  <c r="AX63" i="15"/>
  <c r="AY63" i="15"/>
  <c r="AZ63" i="15"/>
  <c r="BA63" i="15"/>
  <c r="BB63" i="15"/>
  <c r="BC63" i="15"/>
  <c r="BD63" i="15"/>
  <c r="BE63" i="15"/>
  <c r="BF63" i="15"/>
  <c r="BG63" i="15"/>
  <c r="BH63" i="15"/>
  <c r="BI63" i="15"/>
  <c r="BJ63" i="15"/>
  <c r="BK63" i="15"/>
  <c r="BL63" i="15"/>
  <c r="BM63" i="15"/>
  <c r="BN63" i="15"/>
  <c r="A64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X64" i="15"/>
  <c r="Y64" i="15"/>
  <c r="Z64" i="15"/>
  <c r="AA64" i="15"/>
  <c r="AB64" i="15"/>
  <c r="AC64" i="15"/>
  <c r="AD64" i="15"/>
  <c r="AE64" i="15"/>
  <c r="AF64" i="15"/>
  <c r="AG64" i="15"/>
  <c r="AH64" i="15"/>
  <c r="AI64" i="15"/>
  <c r="AJ64" i="15"/>
  <c r="AK64" i="15"/>
  <c r="AL64" i="15"/>
  <c r="AM64" i="15"/>
  <c r="AN64" i="15"/>
  <c r="AO64" i="15"/>
  <c r="AP64" i="15"/>
  <c r="AQ64" i="15"/>
  <c r="AR64" i="15"/>
  <c r="A65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O65" i="15"/>
  <c r="P65" i="15"/>
  <c r="Q65" i="15"/>
  <c r="R65" i="15"/>
  <c r="S65" i="15"/>
  <c r="T65" i="15"/>
  <c r="U65" i="15"/>
  <c r="V65" i="15"/>
  <c r="W65" i="15"/>
  <c r="X65" i="15"/>
  <c r="Y65" i="15"/>
  <c r="Z65" i="15"/>
  <c r="AA65" i="15"/>
  <c r="AB65" i="15"/>
  <c r="AC65" i="15"/>
  <c r="AD65" i="15"/>
  <c r="AE65" i="15"/>
  <c r="AF65" i="15"/>
  <c r="AG65" i="15"/>
  <c r="AH65" i="15"/>
  <c r="AI65" i="15"/>
  <c r="AJ65" i="15"/>
  <c r="AK65" i="15"/>
  <c r="AL65" i="15"/>
  <c r="AM65" i="15"/>
  <c r="AN65" i="15"/>
  <c r="AO65" i="15"/>
  <c r="AP65" i="15"/>
  <c r="AQ65" i="15"/>
  <c r="AR65" i="15"/>
  <c r="AS65" i="15"/>
  <c r="AT65" i="15"/>
  <c r="AU65" i="15"/>
  <c r="AV65" i="15"/>
  <c r="AW65" i="15"/>
  <c r="AX65" i="15"/>
  <c r="AY65" i="15"/>
  <c r="AZ65" i="15"/>
  <c r="BA65" i="15"/>
  <c r="BB65" i="15"/>
  <c r="BC65" i="15"/>
  <c r="BD65" i="15"/>
  <c r="BE65" i="15"/>
  <c r="BF65" i="15"/>
  <c r="BG65" i="15"/>
  <c r="BH65" i="15"/>
  <c r="BI65" i="15"/>
  <c r="BJ65" i="15"/>
  <c r="BK65" i="15"/>
  <c r="BL65" i="15"/>
  <c r="BM65" i="15"/>
  <c r="BN65" i="15"/>
  <c r="BO65" i="15"/>
  <c r="BP65" i="15"/>
  <c r="BQ65" i="15"/>
  <c r="BR65" i="15"/>
  <c r="BS65" i="15"/>
  <c r="BT65" i="15"/>
  <c r="BU65" i="15"/>
  <c r="BV65" i="15"/>
  <c r="BW65" i="15"/>
  <c r="BX65" i="15"/>
  <c r="BY65" i="15"/>
  <c r="BZ65" i="15"/>
  <c r="CA65" i="15"/>
  <c r="CB65" i="15"/>
  <c r="CC65" i="15"/>
  <c r="CD65" i="15"/>
  <c r="CE65" i="15"/>
  <c r="CF65" i="15"/>
  <c r="CG65" i="15"/>
  <c r="CH65" i="15"/>
  <c r="CI65" i="15"/>
  <c r="CJ65" i="15"/>
  <c r="CK65" i="15"/>
  <c r="CL65" i="15"/>
  <c r="CM65" i="15"/>
  <c r="CN65" i="15"/>
  <c r="CO65" i="15"/>
  <c r="CP65" i="15"/>
  <c r="CQ65" i="15"/>
  <c r="CR65" i="15"/>
  <c r="CS65" i="15"/>
  <c r="CT65" i="15"/>
  <c r="CU65" i="15"/>
  <c r="CV65" i="15"/>
  <c r="CW65" i="15"/>
  <c r="CX65" i="15"/>
  <c r="CY65" i="15"/>
  <c r="CZ65" i="15"/>
  <c r="DA65" i="15"/>
  <c r="DB65" i="15"/>
  <c r="DC65" i="15"/>
  <c r="DD65" i="15"/>
  <c r="DE65" i="15"/>
  <c r="DF65" i="15"/>
  <c r="DG65" i="15"/>
  <c r="DH65" i="15"/>
  <c r="DI65" i="15"/>
  <c r="DJ65" i="15"/>
  <c r="DK65" i="15"/>
  <c r="DL65" i="15"/>
  <c r="DM65" i="15"/>
  <c r="DN65" i="15"/>
  <c r="DO65" i="15"/>
  <c r="DP65" i="15"/>
  <c r="DQ65" i="15"/>
  <c r="DR65" i="15"/>
  <c r="DS65" i="15"/>
  <c r="DT65" i="15"/>
  <c r="DU65" i="15"/>
  <c r="DV65" i="15"/>
  <c r="DW65" i="15"/>
  <c r="DX65" i="15"/>
  <c r="DY65" i="15"/>
  <c r="DZ65" i="15"/>
  <c r="EA65" i="15"/>
  <c r="EB65" i="15"/>
  <c r="EC65" i="15"/>
  <c r="ED65" i="15"/>
  <c r="EE65" i="15"/>
  <c r="EF65" i="15"/>
  <c r="EG65" i="15"/>
  <c r="EH65" i="15"/>
  <c r="EI65" i="15"/>
  <c r="EJ65" i="15"/>
  <c r="EK65" i="15"/>
  <c r="EL65" i="15"/>
  <c r="EM65" i="15"/>
  <c r="EN65" i="15"/>
  <c r="EO65" i="15"/>
  <c r="EP65" i="15"/>
  <c r="EQ65" i="15"/>
  <c r="ER65" i="15"/>
  <c r="ES65" i="15"/>
  <c r="ET65" i="15"/>
  <c r="EU65" i="15"/>
  <c r="EV65" i="15"/>
  <c r="EW65" i="15"/>
  <c r="EX65" i="15"/>
  <c r="EY65" i="15"/>
  <c r="EZ65" i="15"/>
  <c r="FA65" i="15"/>
  <c r="FB65" i="15"/>
  <c r="FC65" i="15"/>
  <c r="FD65" i="15"/>
  <c r="FE65" i="15"/>
  <c r="FF65" i="15"/>
  <c r="FG65" i="15"/>
  <c r="FH65" i="15"/>
  <c r="FI65" i="15"/>
  <c r="FJ65" i="15"/>
  <c r="FK65" i="15"/>
  <c r="FL65" i="15"/>
  <c r="FM65" i="15"/>
  <c r="FN65" i="15"/>
  <c r="FO65" i="15"/>
  <c r="FP65" i="15"/>
  <c r="FQ65" i="15"/>
  <c r="FR65" i="15"/>
  <c r="FS65" i="15"/>
  <c r="FT65" i="15"/>
  <c r="FU65" i="15"/>
  <c r="FV65" i="15"/>
  <c r="FW65" i="15"/>
  <c r="FX65" i="15"/>
  <c r="FY65" i="15"/>
  <c r="FZ65" i="15"/>
  <c r="GA65" i="15"/>
  <c r="GB65" i="15"/>
  <c r="GC65" i="15"/>
  <c r="GD65" i="15"/>
  <c r="GE65" i="15"/>
  <c r="GF65" i="15"/>
  <c r="GG65" i="15"/>
  <c r="GH65" i="15"/>
  <c r="GI65" i="15"/>
  <c r="GJ65" i="15"/>
  <c r="GK65" i="15"/>
  <c r="GL65" i="15"/>
  <c r="GM65" i="15"/>
  <c r="GN65" i="15"/>
  <c r="GO65" i="15"/>
  <c r="GP65" i="15"/>
  <c r="GQ65" i="15"/>
  <c r="GR65" i="15"/>
  <c r="GS65" i="15"/>
  <c r="GT65" i="15"/>
  <c r="GU65" i="15"/>
  <c r="GV65" i="15"/>
  <c r="GW65" i="15"/>
  <c r="GX65" i="15"/>
  <c r="GY65" i="15"/>
  <c r="GZ65" i="15"/>
  <c r="HA65" i="15"/>
  <c r="HB65" i="15"/>
  <c r="HC65" i="15"/>
  <c r="HD65" i="15"/>
  <c r="HE65" i="15"/>
  <c r="HF65" i="15"/>
  <c r="HG65" i="15"/>
  <c r="HH65" i="15"/>
  <c r="HI65" i="15"/>
  <c r="HJ65" i="15"/>
  <c r="HK65" i="15"/>
  <c r="HL65" i="15"/>
  <c r="HM65" i="15"/>
  <c r="HN65" i="15"/>
  <c r="HO65" i="15"/>
  <c r="HP65" i="15"/>
  <c r="HQ65" i="15"/>
  <c r="HR65" i="15"/>
  <c r="HS65" i="15"/>
  <c r="HT65" i="15"/>
  <c r="HU65" i="15"/>
  <c r="HV65" i="15"/>
  <c r="HW65" i="15"/>
  <c r="HX65" i="15"/>
  <c r="HY65" i="15"/>
  <c r="HZ65" i="15"/>
  <c r="IA65" i="15"/>
  <c r="IB65" i="15"/>
  <c r="IC65" i="15"/>
  <c r="ID65" i="15"/>
  <c r="IE65" i="15"/>
  <c r="IF65" i="15"/>
  <c r="IG65" i="15"/>
  <c r="IH65" i="15"/>
  <c r="II65" i="15"/>
  <c r="IJ65" i="15"/>
  <c r="IK65" i="15"/>
  <c r="IL65" i="15"/>
  <c r="IM65" i="15"/>
  <c r="IN65" i="15"/>
  <c r="IO65" i="15"/>
  <c r="IP65" i="15"/>
  <c r="IQ65" i="15"/>
  <c r="IR65" i="15"/>
  <c r="IS65" i="15"/>
  <c r="IT65" i="15"/>
  <c r="IU65" i="15"/>
  <c r="IV65" i="15"/>
  <c r="A66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O66" i="15"/>
  <c r="P66" i="15"/>
  <c r="Q66" i="15"/>
  <c r="R66" i="15"/>
  <c r="S66" i="15"/>
  <c r="T66" i="15"/>
  <c r="U66" i="15"/>
  <c r="V66" i="15"/>
  <c r="W66" i="15"/>
  <c r="X66" i="15"/>
  <c r="Y66" i="15"/>
  <c r="Z66" i="15"/>
  <c r="AA66" i="15"/>
  <c r="AB66" i="15"/>
  <c r="AC66" i="15"/>
  <c r="AD66" i="15"/>
  <c r="AE66" i="15"/>
  <c r="AF66" i="15"/>
  <c r="AG66" i="15"/>
  <c r="AH66" i="15"/>
  <c r="AI66" i="15"/>
  <c r="AJ66" i="15"/>
  <c r="AK66" i="15"/>
  <c r="AL66" i="15"/>
  <c r="AM66" i="15"/>
  <c r="AN66" i="15"/>
  <c r="AO66" i="15"/>
  <c r="AP66" i="15"/>
  <c r="AQ66" i="15"/>
  <c r="AR66" i="15"/>
  <c r="AS66" i="15"/>
  <c r="AT66" i="15"/>
  <c r="AU66" i="15"/>
  <c r="AV66" i="15"/>
  <c r="AW66" i="15"/>
  <c r="AX66" i="15"/>
  <c r="AY66" i="15"/>
  <c r="AZ66" i="15"/>
  <c r="BA66" i="15"/>
  <c r="BB66" i="15"/>
  <c r="BC66" i="15"/>
  <c r="BD66" i="15"/>
  <c r="BE66" i="15"/>
  <c r="BF66" i="15"/>
  <c r="BG66" i="15"/>
  <c r="BH66" i="15"/>
  <c r="BI66" i="15"/>
  <c r="BJ66" i="15"/>
  <c r="BK66" i="15"/>
  <c r="BL66" i="15"/>
  <c r="BM66" i="15"/>
  <c r="BN66" i="15"/>
  <c r="BO66" i="15"/>
  <c r="BP66" i="15"/>
  <c r="BQ66" i="15"/>
  <c r="BR66" i="15"/>
  <c r="BS66" i="15"/>
  <c r="BT66" i="15"/>
  <c r="BU66" i="15"/>
  <c r="BV66" i="15"/>
  <c r="BW66" i="15"/>
  <c r="BX66" i="15"/>
  <c r="BY66" i="15"/>
  <c r="BZ66" i="15"/>
  <c r="CA66" i="15"/>
  <c r="CB66" i="15"/>
  <c r="CC66" i="15"/>
  <c r="CD66" i="15"/>
  <c r="CE66" i="15"/>
  <c r="CF66" i="15"/>
  <c r="CG66" i="15"/>
  <c r="CH66" i="15"/>
  <c r="CI66" i="15"/>
  <c r="CJ66" i="15"/>
  <c r="CK66" i="15"/>
  <c r="CL66" i="15"/>
  <c r="CM66" i="15"/>
  <c r="CN66" i="15"/>
  <c r="CO66" i="15"/>
  <c r="CP66" i="15"/>
  <c r="CQ66" i="15"/>
  <c r="CR66" i="15"/>
  <c r="CS66" i="15"/>
  <c r="CT66" i="15"/>
  <c r="CU66" i="15"/>
  <c r="CV66" i="15"/>
  <c r="CW66" i="15"/>
  <c r="CX66" i="15"/>
  <c r="CY66" i="15"/>
  <c r="CZ66" i="15"/>
  <c r="DA66" i="15"/>
  <c r="DB66" i="15"/>
  <c r="DC66" i="15"/>
  <c r="DD66" i="15"/>
  <c r="DE66" i="15"/>
  <c r="DF66" i="15"/>
  <c r="DG66" i="15"/>
  <c r="DH66" i="15"/>
  <c r="DI66" i="15"/>
  <c r="DJ66" i="15"/>
  <c r="DK66" i="15"/>
  <c r="DL66" i="15"/>
  <c r="DM66" i="15"/>
  <c r="DN66" i="15"/>
  <c r="DO66" i="15"/>
  <c r="DP66" i="15"/>
  <c r="DQ66" i="15"/>
  <c r="DR66" i="15"/>
  <c r="DS66" i="15"/>
  <c r="DT66" i="15"/>
  <c r="DU66" i="15"/>
  <c r="DV66" i="15"/>
  <c r="DW66" i="15"/>
  <c r="DX66" i="15"/>
  <c r="DY66" i="15"/>
  <c r="DZ66" i="15"/>
  <c r="EA66" i="15"/>
  <c r="EB66" i="15"/>
  <c r="EC66" i="15"/>
  <c r="ED66" i="15"/>
  <c r="EE66" i="15"/>
  <c r="EF66" i="15"/>
  <c r="EG66" i="15"/>
  <c r="EH66" i="15"/>
  <c r="EI66" i="15"/>
  <c r="EJ66" i="15"/>
  <c r="EK66" i="15"/>
  <c r="EL66" i="15"/>
  <c r="EM66" i="15"/>
  <c r="EN66" i="15"/>
  <c r="EO66" i="15"/>
  <c r="EP66" i="15"/>
  <c r="EQ66" i="15"/>
  <c r="ER66" i="15"/>
  <c r="ES66" i="15"/>
  <c r="ET66" i="15"/>
  <c r="EU66" i="15"/>
  <c r="EV66" i="15"/>
  <c r="EW66" i="15"/>
  <c r="EX66" i="15"/>
  <c r="EY66" i="15"/>
  <c r="EZ66" i="15"/>
  <c r="FA66" i="15"/>
  <c r="FB66" i="15"/>
  <c r="FC66" i="15"/>
  <c r="FD66" i="15"/>
  <c r="FE66" i="15"/>
  <c r="FF66" i="15"/>
  <c r="FG66" i="15"/>
  <c r="FH66" i="15"/>
  <c r="FI66" i="15"/>
  <c r="FJ66" i="15"/>
  <c r="FK66" i="15"/>
  <c r="FL66" i="15"/>
  <c r="FM66" i="15"/>
  <c r="FN66" i="15"/>
  <c r="FO66" i="15"/>
  <c r="FP66" i="15"/>
  <c r="FQ66" i="15"/>
  <c r="FR66" i="15"/>
  <c r="FS66" i="15"/>
  <c r="FT66" i="15"/>
  <c r="FU66" i="15"/>
  <c r="FV66" i="15"/>
  <c r="FW66" i="15"/>
  <c r="A67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Q67" i="15"/>
  <c r="R67" i="15"/>
  <c r="S67" i="15"/>
  <c r="T67" i="15"/>
  <c r="U67" i="15"/>
  <c r="V67" i="15"/>
  <c r="W67" i="15"/>
  <c r="X67" i="15"/>
  <c r="Y67" i="15"/>
  <c r="Z67" i="15"/>
  <c r="AA67" i="15"/>
  <c r="AB67" i="15"/>
  <c r="AC67" i="15"/>
  <c r="AD67" i="15"/>
  <c r="AE67" i="15"/>
  <c r="AF67" i="15"/>
  <c r="AG67" i="15"/>
  <c r="AH67" i="15"/>
  <c r="AI67" i="15"/>
  <c r="AJ67" i="15"/>
  <c r="AK67" i="15"/>
  <c r="AL67" i="15"/>
  <c r="AM67" i="15"/>
  <c r="AN67" i="15"/>
  <c r="AO67" i="15"/>
  <c r="AP67" i="15"/>
  <c r="AQ67" i="15"/>
  <c r="AR67" i="15"/>
  <c r="AS67" i="15"/>
  <c r="AT67" i="15"/>
  <c r="AU67" i="15"/>
  <c r="AV67" i="15"/>
  <c r="AW67" i="15"/>
  <c r="AX67" i="15"/>
  <c r="AY67" i="15"/>
  <c r="AZ67" i="15"/>
  <c r="BA67" i="15"/>
  <c r="BB67" i="15"/>
  <c r="BC67" i="15"/>
  <c r="BD67" i="15"/>
  <c r="BF67" i="15"/>
  <c r="BG67" i="15"/>
  <c r="BH67" i="15"/>
  <c r="BI67" i="15"/>
  <c r="BM67" i="15"/>
  <c r="BN67" i="15"/>
  <c r="BO67" i="15"/>
  <c r="BP67" i="15"/>
  <c r="BT67" i="15"/>
  <c r="BU67" i="15"/>
  <c r="BV67" i="15"/>
  <c r="BW67" i="15"/>
  <c r="BZ67" i="15"/>
  <c r="CA67" i="15"/>
  <c r="CB67" i="15"/>
  <c r="CC67" i="15"/>
  <c r="CD67" i="15"/>
  <c r="CE67" i="15"/>
  <c r="CF67" i="15"/>
  <c r="CH67" i="15"/>
  <c r="CI67" i="15"/>
  <c r="CJ67" i="15"/>
  <c r="CK67" i="15"/>
  <c r="CO67" i="15"/>
  <c r="CP67" i="15"/>
  <c r="CQ67" i="15"/>
  <c r="CR67" i="15"/>
  <c r="CT67" i="15"/>
  <c r="CV67" i="15"/>
  <c r="CW67" i="15"/>
  <c r="CX67" i="15"/>
  <c r="CY67" i="15"/>
  <c r="DC67" i="15"/>
  <c r="DD67" i="15"/>
  <c r="DE67" i="15"/>
  <c r="DF67" i="15"/>
  <c r="DJ67" i="15"/>
  <c r="DK67" i="15"/>
  <c r="DL67" i="15"/>
  <c r="DM67" i="15"/>
  <c r="DQ67" i="15"/>
  <c r="DR67" i="15"/>
  <c r="DS67" i="15"/>
  <c r="DT67" i="15"/>
  <c r="DX67" i="15"/>
  <c r="DY67" i="15"/>
  <c r="DZ67" i="15"/>
  <c r="EA67" i="15"/>
  <c r="EE67" i="15"/>
  <c r="EF67" i="15"/>
  <c r="EG67" i="15"/>
  <c r="EH67" i="15"/>
  <c r="EL67" i="15"/>
  <c r="EM67" i="15"/>
  <c r="EN67" i="15"/>
  <c r="EO67" i="15"/>
  <c r="ES67" i="15"/>
  <c r="ET67" i="15"/>
  <c r="EU67" i="15"/>
  <c r="EV67" i="15"/>
  <c r="EZ67" i="15"/>
  <c r="FA67" i="15"/>
  <c r="FB67" i="15"/>
  <c r="FC67" i="15"/>
  <c r="FF67" i="15"/>
  <c r="FG67" i="15"/>
  <c r="FH67" i="15"/>
  <c r="FI67" i="15"/>
  <c r="FJ67" i="15"/>
  <c r="FK67" i="15"/>
  <c r="FL67" i="15"/>
  <c r="FM67" i="15"/>
  <c r="FN67" i="15"/>
  <c r="FO67" i="15"/>
  <c r="FP67" i="15"/>
  <c r="FQ67" i="15"/>
  <c r="FR67" i="15"/>
  <c r="FS67" i="15"/>
  <c r="FT67" i="15"/>
  <c r="FU67" i="15"/>
  <c r="FV67" i="15"/>
  <c r="FW67" i="15"/>
  <c r="FX67" i="15"/>
  <c r="FY67" i="15"/>
  <c r="FZ67" i="15"/>
  <c r="GA67" i="15"/>
  <c r="GB67" i="15"/>
  <c r="GC67" i="15"/>
  <c r="GD67" i="15"/>
  <c r="GE67" i="15"/>
  <c r="GF67" i="15"/>
  <c r="GG67" i="15"/>
  <c r="GH67" i="15"/>
  <c r="GI67" i="15"/>
  <c r="GJ67" i="15"/>
  <c r="GK67" i="15"/>
  <c r="GL67" i="15"/>
  <c r="GM67" i="15"/>
  <c r="GN67" i="15"/>
  <c r="GO67" i="15"/>
  <c r="GP67" i="15"/>
  <c r="GQ67" i="15"/>
  <c r="GR67" i="15"/>
  <c r="GS67" i="15"/>
  <c r="GT67" i="15"/>
  <c r="GU67" i="15"/>
  <c r="GV67" i="15"/>
  <c r="GW67" i="15"/>
  <c r="GX67" i="15"/>
  <c r="GY67" i="15"/>
  <c r="GZ67" i="15"/>
  <c r="HA67" i="15"/>
  <c r="HB67" i="15"/>
  <c r="HC67" i="15"/>
  <c r="HD67" i="15"/>
  <c r="HE67" i="15"/>
  <c r="HF67" i="15"/>
  <c r="HG67" i="15"/>
  <c r="HH67" i="15"/>
  <c r="HI67" i="15"/>
  <c r="HJ67" i="15"/>
  <c r="A68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Q68" i="15"/>
  <c r="R68" i="15"/>
  <c r="T68" i="15"/>
  <c r="U68" i="15"/>
  <c r="V68" i="15"/>
  <c r="W68" i="15"/>
  <c r="X68" i="15"/>
  <c r="Y68" i="15"/>
  <c r="Z68" i="15"/>
  <c r="AA68" i="15"/>
  <c r="AB68" i="15"/>
  <c r="AC68" i="15"/>
  <c r="AD68" i="15"/>
  <c r="AF68" i="15"/>
  <c r="AG68" i="15"/>
  <c r="AH68" i="15"/>
  <c r="AI68" i="15"/>
  <c r="AJ68" i="15"/>
  <c r="AK68" i="15"/>
  <c r="AL68" i="15"/>
  <c r="AM68" i="15"/>
  <c r="AN68" i="15"/>
  <c r="AO68" i="15"/>
  <c r="AP68" i="15"/>
  <c r="AQ68" i="15"/>
  <c r="AR68" i="15"/>
  <c r="AS68" i="15"/>
  <c r="AT68" i="15"/>
  <c r="AU68" i="15"/>
  <c r="AV68" i="15"/>
  <c r="AW68" i="15"/>
  <c r="AX68" i="15"/>
  <c r="AY68" i="15"/>
  <c r="AZ68" i="15"/>
  <c r="BA68" i="15"/>
  <c r="BB68" i="15"/>
  <c r="BC68" i="15"/>
  <c r="BD68" i="15"/>
  <c r="BE68" i="15"/>
  <c r="BF68" i="15"/>
  <c r="BG68" i="15"/>
  <c r="BH68" i="15"/>
  <c r="BI68" i="15"/>
  <c r="BJ68" i="15"/>
  <c r="BK68" i="15"/>
  <c r="BL68" i="15"/>
  <c r="BM68" i="15"/>
  <c r="DI25" i="15"/>
  <c r="HR22" i="15"/>
  <c r="G23" i="15"/>
  <c r="AJ27" i="15"/>
  <c r="GS17" i="15"/>
  <c r="GU17" i="15"/>
  <c r="AK27" i="15"/>
  <c r="DL25" i="15"/>
  <c r="AN27" i="15"/>
  <c r="AM27" i="15"/>
  <c r="AP27" i="15"/>
  <c r="J24" i="15"/>
  <c r="F100" i="10"/>
  <c r="F97" i="10"/>
  <c r="I7" i="10" s="1"/>
  <c r="J7" i="10" s="1"/>
  <c r="AE68" i="15"/>
  <c r="S68" i="15"/>
  <c r="CA19" i="15"/>
  <c r="CJ19" i="15"/>
  <c r="CS19" i="15"/>
  <c r="BR19" i="15"/>
  <c r="DB19" i="15"/>
  <c r="AT20" i="15"/>
  <c r="AQ20" i="15"/>
  <c r="K5" i="11" l="1"/>
  <c r="L10" i="1" s="1"/>
  <c r="B5" i="20"/>
  <c r="E5" i="20" s="1"/>
  <c r="D10" i="1" s="1"/>
  <c r="E10" i="1" s="1"/>
  <c r="CR23" i="15"/>
  <c r="X23" i="15"/>
  <c r="N6" i="10"/>
  <c r="J10" i="1" s="1"/>
  <c r="N21" i="10"/>
  <c r="J25" i="1" s="1"/>
  <c r="K25" i="1" s="1"/>
  <c r="N7" i="10"/>
  <c r="J11" i="1" s="1"/>
  <c r="N22" i="10"/>
  <c r="J26" i="1" s="1"/>
  <c r="D12" i="10"/>
  <c r="AP24" i="15" s="1"/>
  <c r="N8" i="10"/>
  <c r="J12" i="1" s="1"/>
  <c r="N23" i="10"/>
  <c r="J27" i="1" s="1"/>
  <c r="K27" i="1" s="1"/>
  <c r="D16" i="10"/>
  <c r="BZ24" i="15" s="1"/>
  <c r="N19" i="10"/>
  <c r="J23" i="1" s="1"/>
  <c r="DW67" i="15"/>
  <c r="BQ23" i="15"/>
  <c r="BH23" i="15"/>
  <c r="BZ23" i="15"/>
  <c r="C14" i="10"/>
  <c r="D14" i="10" s="1"/>
  <c r="N14" i="10" s="1"/>
  <c r="J18" i="1" s="1"/>
  <c r="DU67" i="15"/>
  <c r="I13" i="10"/>
  <c r="J13" i="10" s="1"/>
  <c r="F15" i="10"/>
  <c r="G15" i="10" s="1"/>
  <c r="C9" i="10"/>
  <c r="D9" i="10" s="1"/>
  <c r="O24" i="15" s="1"/>
  <c r="F16" i="10"/>
  <c r="G16" i="10" s="1"/>
  <c r="EK67" i="15" s="1"/>
  <c r="F9" i="10"/>
  <c r="G9" i="10" s="1"/>
  <c r="I16" i="10"/>
  <c r="F17" i="10"/>
  <c r="G17" i="10" s="1"/>
  <c r="N17" i="10" s="1"/>
  <c r="J21" i="1" s="1"/>
  <c r="I18" i="10"/>
  <c r="J18" i="10" s="1"/>
  <c r="FE67" i="15" s="1"/>
  <c r="C11" i="10"/>
  <c r="D11" i="10" s="1"/>
  <c r="F11" i="10"/>
  <c r="G11" i="10" s="1"/>
  <c r="F18" i="10"/>
  <c r="G18" i="10" s="1"/>
  <c r="I10" i="10"/>
  <c r="J10" i="10" s="1"/>
  <c r="N10" i="10" s="1"/>
  <c r="J14" i="1" s="1"/>
  <c r="F12" i="10"/>
  <c r="G12" i="10" s="1"/>
  <c r="F13" i="10"/>
  <c r="G13" i="10" s="1"/>
  <c r="I15" i="10"/>
  <c r="J15" i="10" s="1"/>
  <c r="EJ67" i="15" s="1"/>
  <c r="DS24" i="15"/>
  <c r="I24" i="10"/>
  <c r="J24" i="10" s="1"/>
  <c r="N24" i="10" s="1"/>
  <c r="J28" i="1" s="1"/>
  <c r="CI23" i="15"/>
  <c r="O23" i="15"/>
  <c r="S4" i="23"/>
  <c r="S6" i="23"/>
  <c r="S10" i="22"/>
  <c r="M5" i="21"/>
  <c r="C5" i="4" s="1"/>
  <c r="T10" i="15" s="1"/>
  <c r="S5" i="23"/>
  <c r="S7" i="23"/>
  <c r="S6" i="22"/>
  <c r="M4" i="22"/>
  <c r="D4" i="4" s="1"/>
  <c r="L10" i="15" s="1"/>
  <c r="BE10" i="15"/>
  <c r="CW10" i="15"/>
  <c r="M26" i="1"/>
  <c r="HT24" i="15"/>
  <c r="BJ25" i="15"/>
  <c r="IN24" i="15"/>
  <c r="BT25" i="15"/>
  <c r="B25" i="15"/>
  <c r="CD25" i="15"/>
  <c r="AZ25" i="15"/>
  <c r="L25" i="15"/>
  <c r="CN25" i="15"/>
  <c r="V25" i="15"/>
  <c r="AF25" i="15"/>
  <c r="AP25" i="15"/>
  <c r="AI27" i="15"/>
  <c r="Q29" i="1"/>
  <c r="D35" i="12"/>
  <c r="D36" i="12"/>
  <c r="E36" i="12" s="1"/>
  <c r="HU26" i="15" s="1"/>
  <c r="HH26" i="15"/>
  <c r="HS26" i="15"/>
  <c r="AL27" i="15"/>
  <c r="EX67" i="15"/>
  <c r="EW67" i="15"/>
  <c r="DH67" i="15"/>
  <c r="DG67" i="15"/>
  <c r="I5" i="10"/>
  <c r="HZ23" i="15"/>
  <c r="CM67" i="15"/>
  <c r="L5" i="10"/>
  <c r="M5" i="10" s="1"/>
  <c r="BL67" i="15"/>
  <c r="BS67" i="15"/>
  <c r="EI67" i="15"/>
  <c r="CG67" i="15"/>
  <c r="BY24" i="15"/>
  <c r="AX24" i="15"/>
  <c r="BQ67" i="15"/>
  <c r="BP24" i="15"/>
  <c r="AO24" i="15"/>
  <c r="DV67" i="15"/>
  <c r="CL67" i="15"/>
  <c r="BG24" i="15"/>
  <c r="DR24" i="15"/>
  <c r="K24" i="1"/>
  <c r="DL24" i="15"/>
  <c r="CX10" i="15"/>
  <c r="I5" i="22"/>
  <c r="M5" i="22" s="1"/>
  <c r="K5" i="22"/>
  <c r="BX67" i="15"/>
  <c r="BY67" i="15"/>
  <c r="BQ24" i="15"/>
  <c r="I4" i="23"/>
  <c r="M4" i="23" s="1"/>
  <c r="E4" i="4" s="1"/>
  <c r="K4" i="23"/>
  <c r="HR23" i="15"/>
  <c r="X24" i="15"/>
  <c r="W24" i="15"/>
  <c r="K5" i="23"/>
  <c r="I5" i="23"/>
  <c r="M5" i="23" s="1"/>
  <c r="DI24" i="15"/>
  <c r="DH24" i="15"/>
  <c r="DO67" i="15"/>
  <c r="DN67" i="15"/>
  <c r="H28" i="1"/>
  <c r="I28" i="1" s="1"/>
  <c r="F23" i="15"/>
  <c r="H9" i="1"/>
  <c r="I9" i="1" s="1"/>
  <c r="FU1" i="15" s="1"/>
  <c r="E31" i="12"/>
  <c r="FV26" i="15" s="1"/>
  <c r="M4" i="21"/>
  <c r="C4" i="4" s="1"/>
  <c r="K10" i="15" s="1"/>
  <c r="CZ67" i="15"/>
  <c r="S8" i="23"/>
  <c r="S9" i="23"/>
  <c r="CS67" i="15"/>
  <c r="ES3" i="15"/>
  <c r="K4" i="22"/>
  <c r="S5" i="22"/>
  <c r="AV10" i="15"/>
  <c r="CF10" i="15"/>
  <c r="S7" i="22"/>
  <c r="S8" i="22"/>
  <c r="S9" i="22"/>
  <c r="BV10" i="15"/>
  <c r="DN10" i="15"/>
  <c r="AT10" i="15"/>
  <c r="M4" i="18"/>
  <c r="B4" i="4" s="1"/>
  <c r="CD10" i="15"/>
  <c r="HX46" i="15"/>
  <c r="E4" i="20"/>
  <c r="D9" i="1" s="1"/>
  <c r="E9" i="1" s="1"/>
  <c r="Q9" i="1"/>
  <c r="GC1" i="15" s="1"/>
  <c r="I22" i="1"/>
  <c r="HG2" i="15" s="1"/>
  <c r="I16" i="1"/>
  <c r="CK2" i="15" s="1"/>
  <c r="I26" i="1"/>
  <c r="I20" i="1"/>
  <c r="FQ2" i="15" s="1"/>
  <c r="AT2" i="15"/>
  <c r="I24" i="1"/>
  <c r="GO1" i="15"/>
  <c r="AG25" i="15"/>
  <c r="BU25" i="15"/>
  <c r="Q18" i="1"/>
  <c r="EI2" i="15" s="1"/>
  <c r="Q10" i="1"/>
  <c r="GX1" i="15" s="1"/>
  <c r="EH2" i="15"/>
  <c r="I15" i="1"/>
  <c r="BP2" i="15" s="1"/>
  <c r="DF2" i="15"/>
  <c r="I14" i="1"/>
  <c r="AU2" i="15" s="1"/>
  <c r="I21" i="1"/>
  <c r="GL2" i="15" s="1"/>
  <c r="I12" i="1"/>
  <c r="E2" i="15" s="1"/>
  <c r="I11" i="1"/>
  <c r="HK1" i="15" s="1"/>
  <c r="EV2" i="15"/>
  <c r="Z2" i="15"/>
  <c r="I18" i="1"/>
  <c r="EA2" i="15" s="1"/>
  <c r="I10" i="1"/>
  <c r="GP1" i="15" s="1"/>
  <c r="Q21" i="1"/>
  <c r="GT2" i="15" s="1"/>
  <c r="Q13" i="1"/>
  <c r="AH2" i="15" s="1"/>
  <c r="Q16" i="1"/>
  <c r="CS2" i="15" s="1"/>
  <c r="Q27" i="1"/>
  <c r="Q24" i="1"/>
  <c r="GS2" i="15"/>
  <c r="AG2" i="15"/>
  <c r="D2" i="15"/>
  <c r="Q19" i="1"/>
  <c r="FD2" i="15" s="1"/>
  <c r="DZ2" i="15"/>
  <c r="Q26" i="1"/>
  <c r="Q11" i="1"/>
  <c r="HS1" i="15" s="1"/>
  <c r="HF2" i="15"/>
  <c r="DE2" i="15"/>
  <c r="Q15" i="1"/>
  <c r="BX2" i="15" s="1"/>
  <c r="Q23" i="1"/>
  <c r="EZ3" i="15" s="1"/>
  <c r="CJ2" i="15"/>
  <c r="HR1" i="15"/>
  <c r="EU2" i="15"/>
  <c r="Q28" i="1"/>
  <c r="Q25" i="1"/>
  <c r="Q12" i="1"/>
  <c r="M2" i="15" s="1"/>
  <c r="Q14" i="1"/>
  <c r="BC2" i="15" s="1"/>
  <c r="Y2" i="15"/>
  <c r="J2" i="15"/>
  <c r="Q20" i="1"/>
  <c r="FY2" i="15" s="1"/>
  <c r="Q17" i="1"/>
  <c r="DN2" i="15" s="1"/>
  <c r="Q22" i="1"/>
  <c r="HO2" i="15" s="1"/>
  <c r="FT1" i="15"/>
  <c r="GK2" i="15"/>
  <c r="FP2" i="15"/>
  <c r="CQ24" i="15"/>
  <c r="GC18" i="15"/>
  <c r="AY24" i="15"/>
  <c r="IA23" i="15"/>
  <c r="ER3" i="15"/>
  <c r="EQ3" i="15"/>
  <c r="II23" i="15"/>
  <c r="DH50" i="15"/>
  <c r="EB67" i="15"/>
  <c r="E24" i="15"/>
  <c r="DR50" i="15"/>
  <c r="D34" i="12"/>
  <c r="GW26" i="15"/>
  <c r="IT19" i="15"/>
  <c r="EA18" i="15"/>
  <c r="DW18" i="15"/>
  <c r="GE18" i="15"/>
  <c r="GA18" i="15"/>
  <c r="DT19" i="15"/>
  <c r="CH24" i="15"/>
  <c r="FC18" i="15"/>
  <c r="EO18" i="15"/>
  <c r="GS18" i="15"/>
  <c r="A19" i="15"/>
  <c r="M5" i="18"/>
  <c r="B5" i="4" s="1"/>
  <c r="HA43" i="15"/>
  <c r="BW18" i="15"/>
  <c r="HG18" i="15"/>
  <c r="AC19" i="15"/>
  <c r="O19" i="15"/>
  <c r="CY18" i="15"/>
  <c r="FQ18" i="15"/>
  <c r="HU18" i="15"/>
  <c r="S29" i="1" l="1"/>
  <c r="T29" i="1" s="1"/>
  <c r="U29" i="1" s="1"/>
  <c r="E5" i="4"/>
  <c r="V10" i="15" s="1"/>
  <c r="N15" i="10"/>
  <c r="J19" i="1" s="1"/>
  <c r="K19" i="1" s="1"/>
  <c r="EX2" i="15" s="1"/>
  <c r="D5" i="4"/>
  <c r="U10" i="15" s="1"/>
  <c r="N24" i="15"/>
  <c r="N9" i="10"/>
  <c r="J13" i="1" s="1"/>
  <c r="DP67" i="15"/>
  <c r="N13" i="10"/>
  <c r="J17" i="1" s="1"/>
  <c r="DI67" i="15"/>
  <c r="N12" i="10"/>
  <c r="J16" i="1" s="1"/>
  <c r="CN67" i="15"/>
  <c r="EY67" i="15"/>
  <c r="N18" i="10"/>
  <c r="J22" i="1" s="1"/>
  <c r="DB67" i="15"/>
  <c r="N11" i="10"/>
  <c r="J15" i="1" s="1"/>
  <c r="AF24" i="15"/>
  <c r="J16" i="10"/>
  <c r="N16" i="10" s="1"/>
  <c r="J20" i="1" s="1"/>
  <c r="EP67" i="15"/>
  <c r="FD67" i="15"/>
  <c r="DA67" i="15"/>
  <c r="ED67" i="15"/>
  <c r="ER67" i="15"/>
  <c r="BH24" i="15"/>
  <c r="S11" i="22"/>
  <c r="S11" i="23"/>
  <c r="EI10" i="15"/>
  <c r="CY10" i="15"/>
  <c r="BO10" i="15"/>
  <c r="F11" i="4"/>
  <c r="F16" i="1" s="1"/>
  <c r="F23" i="4"/>
  <c r="F28" i="1" s="1"/>
  <c r="AD10" i="15"/>
  <c r="DP10" i="15"/>
  <c r="BW10" i="15"/>
  <c r="F14" i="4"/>
  <c r="F19" i="1" s="1"/>
  <c r="F13" i="4"/>
  <c r="F18" i="1" s="1"/>
  <c r="F7" i="4"/>
  <c r="F12" i="1" s="1"/>
  <c r="DY10" i="15"/>
  <c r="F21" i="4"/>
  <c r="F26" i="1" s="1"/>
  <c r="F22" i="4"/>
  <c r="F27" i="1" s="1"/>
  <c r="CO10" i="15"/>
  <c r="F18" i="4"/>
  <c r="F23" i="1" s="1"/>
  <c r="EH10" i="15"/>
  <c r="IE46" i="15"/>
  <c r="HZ46" i="15"/>
  <c r="EG10" i="15"/>
  <c r="CE10" i="15"/>
  <c r="BM10" i="15"/>
  <c r="EP10" i="15"/>
  <c r="F8" i="4"/>
  <c r="F13" i="1" s="1"/>
  <c r="DF10" i="15"/>
  <c r="E34" i="12"/>
  <c r="GY26" i="15" s="1"/>
  <c r="Q32" i="1"/>
  <c r="Q34" i="1"/>
  <c r="HT26" i="15"/>
  <c r="F36" i="12"/>
  <c r="G36" i="12" s="1"/>
  <c r="HW26" i="15" s="1"/>
  <c r="Q33" i="1"/>
  <c r="E35" i="12"/>
  <c r="HI26" i="15"/>
  <c r="K10" i="1"/>
  <c r="J5" i="10"/>
  <c r="BJ67" i="15"/>
  <c r="R24" i="15"/>
  <c r="K14" i="1"/>
  <c r="K23" i="1"/>
  <c r="ET3" i="15" s="1"/>
  <c r="K26" i="1"/>
  <c r="BT24" i="15"/>
  <c r="K28" i="1"/>
  <c r="DM24" i="15"/>
  <c r="C18" i="1"/>
  <c r="C22" i="1"/>
  <c r="C10" i="1"/>
  <c r="C26" i="1"/>
  <c r="C14" i="1"/>
  <c r="CG10" i="15"/>
  <c r="C16" i="1"/>
  <c r="AQ25" i="15"/>
  <c r="CE25" i="15"/>
  <c r="D4" i="11"/>
  <c r="HA24" i="15"/>
  <c r="M25" i="15"/>
  <c r="HU24" i="15"/>
  <c r="BA25" i="15"/>
  <c r="IO24" i="15"/>
  <c r="CO25" i="15"/>
  <c r="M24" i="1"/>
  <c r="FT2" i="15"/>
  <c r="HK24" i="15"/>
  <c r="M28" i="1"/>
  <c r="W25" i="15"/>
  <c r="BK25" i="15"/>
  <c r="BL10" i="15"/>
  <c r="DE10" i="15"/>
  <c r="EM18" i="15"/>
  <c r="EF10" i="15"/>
  <c r="DW10" i="15"/>
  <c r="DF50" i="15"/>
  <c r="CN2" i="15"/>
  <c r="M16" i="1"/>
  <c r="AU10" i="15"/>
  <c r="EU3" i="15"/>
  <c r="M23" i="1"/>
  <c r="HS18" i="15"/>
  <c r="CI24" i="15"/>
  <c r="DV50" i="15"/>
  <c r="AU20" i="15"/>
  <c r="J10" i="15"/>
  <c r="BU18" i="15"/>
  <c r="CM10" i="15"/>
  <c r="DT50" i="15"/>
  <c r="AS20" i="15"/>
  <c r="EC67" i="15"/>
  <c r="AG24" i="15"/>
  <c r="IU18" i="15"/>
  <c r="BU10" i="15"/>
  <c r="AB10" i="15"/>
  <c r="IG18" i="15"/>
  <c r="AQ27" i="15"/>
  <c r="BC10" i="15"/>
  <c r="F24" i="15"/>
  <c r="IJ23" i="15"/>
  <c r="AA19" i="15"/>
  <c r="GQ18" i="15"/>
  <c r="GX26" i="15"/>
  <c r="F34" i="12"/>
  <c r="GZ26" i="15" s="1"/>
  <c r="AO27" i="15"/>
  <c r="HJ2" i="15"/>
  <c r="M22" i="1"/>
  <c r="CR24" i="15"/>
  <c r="CV10" i="15"/>
  <c r="DY18" i="15"/>
  <c r="FO18" i="15"/>
  <c r="CW18" i="15"/>
  <c r="EO10" i="15"/>
  <c r="S10" i="15"/>
  <c r="IC46" i="15"/>
  <c r="S34" i="1" l="1"/>
  <c r="T34" i="1" s="1"/>
  <c r="U34" i="1" s="1"/>
  <c r="S32" i="1"/>
  <c r="T32" i="1" s="1"/>
  <c r="U32" i="1" s="1"/>
  <c r="S33" i="1"/>
  <c r="T33" i="1" s="1"/>
  <c r="U33" i="1" s="1"/>
  <c r="HK2" i="15"/>
  <c r="EV3" i="15"/>
  <c r="CO2" i="15"/>
  <c r="AS24" i="15"/>
  <c r="F5" i="4"/>
  <c r="F10" i="1" s="1"/>
  <c r="G10" i="1" s="1"/>
  <c r="K4" i="11"/>
  <c r="L9" i="1" s="1"/>
  <c r="FX1" i="15" s="1"/>
  <c r="EQ67" i="15"/>
  <c r="F9" i="4"/>
  <c r="F6" i="4"/>
  <c r="F11" i="1" s="1"/>
  <c r="F15" i="4"/>
  <c r="F20" i="1" s="1"/>
  <c r="F20" i="4"/>
  <c r="F25" i="1" s="1"/>
  <c r="DG10" i="15"/>
  <c r="F19" i="4"/>
  <c r="F24" i="1" s="1"/>
  <c r="F10" i="4"/>
  <c r="F15" i="1" s="1"/>
  <c r="EQ10" i="15"/>
  <c r="F17" i="4"/>
  <c r="BN10" i="15"/>
  <c r="F12" i="4"/>
  <c r="F17" i="1" s="1"/>
  <c r="F16" i="4"/>
  <c r="F21" i="1" s="1"/>
  <c r="AC10" i="15"/>
  <c r="DO10" i="15"/>
  <c r="HY46" i="15"/>
  <c r="BD10" i="15"/>
  <c r="ID46" i="15"/>
  <c r="DX10" i="15"/>
  <c r="CN10" i="15"/>
  <c r="M25" i="1"/>
  <c r="M27" i="1"/>
  <c r="H2" i="15"/>
  <c r="M11" i="1"/>
  <c r="M13" i="1"/>
  <c r="HV26" i="15"/>
  <c r="H36" i="12"/>
  <c r="HX26" i="15" s="1"/>
  <c r="HJ26" i="15"/>
  <c r="F35" i="12"/>
  <c r="ID23" i="15"/>
  <c r="BB24" i="15"/>
  <c r="BK67" i="15"/>
  <c r="N5" i="10"/>
  <c r="K16" i="1"/>
  <c r="CM2" i="15" s="1"/>
  <c r="AA24" i="15"/>
  <c r="AA2" i="15"/>
  <c r="EW2" i="15"/>
  <c r="DG2" i="15"/>
  <c r="K17" i="1"/>
  <c r="DH2" i="15" s="1"/>
  <c r="G26" i="1"/>
  <c r="S26" i="1" s="1"/>
  <c r="C27" i="1"/>
  <c r="CP10" i="15"/>
  <c r="C17" i="1"/>
  <c r="AE10" i="15"/>
  <c r="C11" i="1"/>
  <c r="DZ10" i="15"/>
  <c r="C21" i="1"/>
  <c r="DQ10" i="15"/>
  <c r="C20" i="1"/>
  <c r="AW10" i="15"/>
  <c r="C12" i="1"/>
  <c r="IF46" i="15"/>
  <c r="C25" i="1"/>
  <c r="IA46" i="15"/>
  <c r="C24" i="1"/>
  <c r="C28" i="1"/>
  <c r="ER10" i="15"/>
  <c r="C23" i="1"/>
  <c r="DH10" i="15"/>
  <c r="C19" i="1"/>
  <c r="BF10" i="15"/>
  <c r="C13" i="1"/>
  <c r="BX10" i="15"/>
  <c r="C15" i="1"/>
  <c r="M10" i="15"/>
  <c r="C9" i="1"/>
  <c r="C25" i="15"/>
  <c r="AX2" i="15"/>
  <c r="M21" i="1"/>
  <c r="DI2" i="15"/>
  <c r="M20" i="1"/>
  <c r="M15" i="1"/>
  <c r="BS2" i="15"/>
  <c r="GS1" i="15"/>
  <c r="M10" i="1"/>
  <c r="ED2" i="15"/>
  <c r="M18" i="1"/>
  <c r="EY2" i="15"/>
  <c r="M19" i="1"/>
  <c r="BK24" i="15"/>
  <c r="K18" i="1"/>
  <c r="IM23" i="15"/>
  <c r="K11" i="1"/>
  <c r="CL24" i="15"/>
  <c r="K21" i="1"/>
  <c r="DA10" i="15"/>
  <c r="G18" i="1"/>
  <c r="K12" i="1"/>
  <c r="I24" i="15"/>
  <c r="AV2" i="15"/>
  <c r="AW2" i="15"/>
  <c r="GR1" i="15"/>
  <c r="GQ1" i="15"/>
  <c r="CI10" i="15"/>
  <c r="G16" i="1"/>
  <c r="G34" i="12"/>
  <c r="HA26" i="15" s="1"/>
  <c r="AJ24" i="15"/>
  <c r="K15" i="1"/>
  <c r="F4" i="4"/>
  <c r="F9" i="1" s="1"/>
  <c r="K22" i="1"/>
  <c r="CU24" i="15"/>
  <c r="S16" i="1" l="1"/>
  <c r="EE2" i="15"/>
  <c r="S18" i="1"/>
  <c r="GP2" i="15"/>
  <c r="EZ2" i="15"/>
  <c r="GT1" i="15"/>
  <c r="S10" i="1"/>
  <c r="FU2" i="15"/>
  <c r="AD2" i="15"/>
  <c r="BT2" i="15"/>
  <c r="HO1" i="15"/>
  <c r="X10" i="15"/>
  <c r="F22" i="1"/>
  <c r="HD2" i="15" s="1"/>
  <c r="F14" i="1"/>
  <c r="G14" i="1" s="1"/>
  <c r="CC24" i="15"/>
  <c r="BQ10" i="15"/>
  <c r="EK10" i="15"/>
  <c r="HN1" i="15"/>
  <c r="AC2" i="15"/>
  <c r="M12" i="1"/>
  <c r="H34" i="12"/>
  <c r="HB26" i="15" s="1"/>
  <c r="I36" i="12"/>
  <c r="HY26" i="15" s="1"/>
  <c r="HK26" i="15"/>
  <c r="G35" i="12"/>
  <c r="CL2" i="15"/>
  <c r="J9" i="1"/>
  <c r="HU23" i="15"/>
  <c r="K13" i="1"/>
  <c r="AB2" i="15" s="1"/>
  <c r="T26" i="1"/>
  <c r="U26" i="1" s="1"/>
  <c r="G13" i="1"/>
  <c r="S13" i="1" s="1"/>
  <c r="ET10" i="15"/>
  <c r="G28" i="1"/>
  <c r="S28" i="1" s="1"/>
  <c r="G27" i="1"/>
  <c r="S27" i="1" s="1"/>
  <c r="IG46" i="15"/>
  <c r="G25" i="1"/>
  <c r="S25" i="1" s="1"/>
  <c r="IB46" i="15"/>
  <c r="G24" i="1"/>
  <c r="S24" i="1" s="1"/>
  <c r="M9" i="1"/>
  <c r="M14" i="1"/>
  <c r="GO2" i="15"/>
  <c r="M17" i="1"/>
  <c r="G23" i="1"/>
  <c r="S23" i="1" s="1"/>
  <c r="BH10" i="15"/>
  <c r="CR10" i="15"/>
  <c r="G17" i="1"/>
  <c r="DS10" i="15"/>
  <c r="G20" i="1"/>
  <c r="BR2" i="15"/>
  <c r="BQ2" i="15"/>
  <c r="G19" i="1"/>
  <c r="S19" i="1" s="1"/>
  <c r="DJ10" i="15"/>
  <c r="HI2" i="15"/>
  <c r="HH2" i="15"/>
  <c r="AG10" i="15"/>
  <c r="G11" i="1"/>
  <c r="S11" i="1" s="1"/>
  <c r="CH2" i="15"/>
  <c r="GM2" i="15"/>
  <c r="GN2" i="15"/>
  <c r="GM1" i="15"/>
  <c r="BZ10" i="15"/>
  <c r="G15" i="1"/>
  <c r="S15" i="1" s="1"/>
  <c r="HL1" i="15"/>
  <c r="HM1" i="15"/>
  <c r="EB10" i="15"/>
  <c r="G21" i="1"/>
  <c r="S21" i="1" s="1"/>
  <c r="O10" i="15"/>
  <c r="G10" i="15"/>
  <c r="F2" i="15"/>
  <c r="G2" i="15"/>
  <c r="EC2" i="15"/>
  <c r="EB2" i="15"/>
  <c r="AY10" i="15"/>
  <c r="G12" i="1"/>
  <c r="W2" i="15"/>
  <c r="DX2" i="15"/>
  <c r="S14" i="1" l="1"/>
  <c r="DJ2" i="15"/>
  <c r="S17" i="1"/>
  <c r="FY1" i="15"/>
  <c r="I2" i="15"/>
  <c r="S12" i="1"/>
  <c r="I34" i="12"/>
  <c r="HC26" i="15" s="1"/>
  <c r="AR2" i="15"/>
  <c r="G22" i="1"/>
  <c r="S22" i="1" s="1"/>
  <c r="K20" i="1"/>
  <c r="FS2" i="15" s="1"/>
  <c r="FR2" i="15"/>
  <c r="AY2" i="15"/>
  <c r="H35" i="12"/>
  <c r="HL26" i="15"/>
  <c r="K9" i="1"/>
  <c r="FV1" i="15"/>
  <c r="T27" i="1"/>
  <c r="U27" i="1" s="1"/>
  <c r="T28" i="1"/>
  <c r="U28" i="1" s="1"/>
  <c r="EO3" i="15"/>
  <c r="T24" i="1"/>
  <c r="U24" i="1" s="1"/>
  <c r="T25" i="1"/>
  <c r="U25" i="1" s="1"/>
  <c r="AS2" i="15"/>
  <c r="CI2" i="15"/>
  <c r="BM2" i="15"/>
  <c r="HH1" i="15"/>
  <c r="GI2" i="15"/>
  <c r="GN1" i="15"/>
  <c r="FN2" i="15"/>
  <c r="DY2" i="15"/>
  <c r="X2" i="15"/>
  <c r="DC2" i="15"/>
  <c r="B2" i="15"/>
  <c r="EP3" i="15"/>
  <c r="ES2" i="15"/>
  <c r="S20" i="1" l="1"/>
  <c r="HE2" i="15"/>
  <c r="HM26" i="15"/>
  <c r="I35" i="12"/>
  <c r="HN26" i="15" s="1"/>
  <c r="FW1" i="15"/>
  <c r="FO2" i="15"/>
  <c r="DD2" i="15"/>
  <c r="HP2" i="15"/>
  <c r="T22" i="1"/>
  <c r="BN2" i="15"/>
  <c r="ET2" i="15"/>
  <c r="FA3" i="15"/>
  <c r="T23" i="1"/>
  <c r="GJ2" i="15"/>
  <c r="CT2" i="15"/>
  <c r="T16" i="1"/>
  <c r="GY1" i="15"/>
  <c r="T10" i="1"/>
  <c r="HI1" i="15"/>
  <c r="BD2" i="15"/>
  <c r="T14" i="1"/>
  <c r="AI2" i="15"/>
  <c r="T13" i="1"/>
  <c r="C2" i="15"/>
  <c r="EJ2" i="15"/>
  <c r="T18" i="1"/>
  <c r="BY2" i="15" l="1"/>
  <c r="T15" i="1"/>
  <c r="EL2" i="15"/>
  <c r="U18" i="1"/>
  <c r="EM2" i="15" s="1"/>
  <c r="HR2" i="15"/>
  <c r="U22" i="1"/>
  <c r="HS2" i="15" s="1"/>
  <c r="HA1" i="15"/>
  <c r="U10" i="1"/>
  <c r="HB1" i="15" s="1"/>
  <c r="FC3" i="15"/>
  <c r="U23" i="1"/>
  <c r="FD3" i="15" s="1"/>
  <c r="DO2" i="15"/>
  <c r="T17" i="1"/>
  <c r="HT1" i="15"/>
  <c r="T11" i="1"/>
  <c r="N2" i="15"/>
  <c r="T12" i="1"/>
  <c r="CV2" i="15"/>
  <c r="U16" i="1"/>
  <c r="CW2" i="15" s="1"/>
  <c r="FE2" i="15"/>
  <c r="T19" i="1"/>
  <c r="FZ2" i="15"/>
  <c r="T20" i="1"/>
  <c r="BF2" i="15"/>
  <c r="U14" i="1"/>
  <c r="BG2" i="15" s="1"/>
  <c r="GU2" i="15"/>
  <c r="T21" i="1"/>
  <c r="AK2" i="15"/>
  <c r="U13" i="1"/>
  <c r="AL2" i="15" l="1"/>
  <c r="R2" i="15"/>
  <c r="GB2" i="15"/>
  <c r="U20" i="1"/>
  <c r="GC2" i="15" s="1"/>
  <c r="HV1" i="15"/>
  <c r="U11" i="1"/>
  <c r="HW1" i="15" s="1"/>
  <c r="FG2" i="15"/>
  <c r="U19" i="1"/>
  <c r="FH2" i="15" s="1"/>
  <c r="DQ2" i="15"/>
  <c r="U17" i="1"/>
  <c r="DR2" i="15" s="1"/>
  <c r="CA2" i="15"/>
  <c r="U15" i="1"/>
  <c r="CB2" i="15" s="1"/>
  <c r="GW2" i="15"/>
  <c r="U21" i="1"/>
  <c r="GX2" i="15" s="1"/>
  <c r="U12" i="1"/>
  <c r="Q2" i="15" s="1"/>
  <c r="P2" i="15"/>
  <c r="G9" i="1"/>
  <c r="S9" i="1" s="1"/>
  <c r="FR1" i="15"/>
  <c r="GD1" i="15" l="1"/>
  <c r="T9" i="1"/>
  <c r="FS1" i="15"/>
  <c r="GF1" i="15" l="1"/>
  <c r="U9" i="1"/>
  <c r="GG1" i="15" s="1"/>
</calcChain>
</file>

<file path=xl/sharedStrings.xml><?xml version="1.0" encoding="utf-8"?>
<sst xmlns="http://schemas.openxmlformats.org/spreadsheetml/2006/main" count="1145" uniqueCount="150">
  <si>
    <t>Prof. Kryscia Daviana Ramírez Benavides</t>
  </si>
  <si>
    <t>Registro de Calificaciones</t>
  </si>
  <si>
    <t>Carné</t>
  </si>
  <si>
    <t>AC</t>
  </si>
  <si>
    <t>% AC</t>
  </si>
  <si>
    <t>Quices</t>
  </si>
  <si>
    <t>% Quices</t>
  </si>
  <si>
    <t>Tareas</t>
  </si>
  <si>
    <t>% Tareas</t>
  </si>
  <si>
    <t>Nota Proy.</t>
  </si>
  <si>
    <t>% Proy.</t>
  </si>
  <si>
    <t>I Parcial</t>
  </si>
  <si>
    <t>II Parcial</t>
  </si>
  <si>
    <t>III Parcial</t>
  </si>
  <si>
    <t>% Examenes</t>
  </si>
  <si>
    <t>Nota</t>
  </si>
  <si>
    <t>Nota Final</t>
  </si>
  <si>
    <t>Condicción</t>
  </si>
  <si>
    <t>Promedio</t>
  </si>
  <si>
    <t>Criterios Generales</t>
  </si>
  <si>
    <t>Valor</t>
  </si>
  <si>
    <t>Total</t>
  </si>
  <si>
    <t>Aprendizaje Colaborativo</t>
  </si>
  <si>
    <t>I Parte</t>
  </si>
  <si>
    <t>II Parte</t>
  </si>
  <si>
    <t>III Parte</t>
  </si>
  <si>
    <t>IV Parte</t>
  </si>
  <si>
    <t>Promedio AC</t>
  </si>
  <si>
    <t>Aprendizaje Colaborativo - Parte 1</t>
  </si>
  <si>
    <t>Promedio Grupal</t>
  </si>
  <si>
    <t>Promedio Individual</t>
  </si>
  <si>
    <t>1. Aplicación de los conceptos a una situación</t>
  </si>
  <si>
    <t>2. Observación del trabajo en equipo</t>
  </si>
  <si>
    <t>3. Observación de cada miembro del equipo</t>
  </si>
  <si>
    <t>4. Presentación en clase</t>
  </si>
  <si>
    <t>5. Informe del tema y documento de problemas</t>
  </si>
  <si>
    <t>6. Evaluación de la actividad</t>
  </si>
  <si>
    <t>E1-L</t>
  </si>
  <si>
    <t>E2-A</t>
  </si>
  <si>
    <t>Aprendizaje Colaborativo - Parte 2</t>
  </si>
  <si>
    <t>E4-E</t>
  </si>
  <si>
    <t>Aprendizaje Colaborativo - Parte 3</t>
  </si>
  <si>
    <t>E3-S</t>
  </si>
  <si>
    <t>Aprendizaje Colaborativo - Parte 4</t>
  </si>
  <si>
    <t>Quiz 1</t>
  </si>
  <si>
    <t>Quiz 2</t>
  </si>
  <si>
    <t>Quiz 3</t>
  </si>
  <si>
    <t>Quiz 4</t>
  </si>
  <si>
    <t>Promedio Quices</t>
  </si>
  <si>
    <t>Tarea 1</t>
  </si>
  <si>
    <t>Tarea 2</t>
  </si>
  <si>
    <t>Tarea 3</t>
  </si>
  <si>
    <t>Tarea4</t>
  </si>
  <si>
    <t>Promedio Tareas</t>
  </si>
  <si>
    <t>Exámenes</t>
  </si>
  <si>
    <t>Estadísticas</t>
  </si>
  <si>
    <t>0-50</t>
  </si>
  <si>
    <t>50-60</t>
  </si>
  <si>
    <t>60-70</t>
  </si>
  <si>
    <t>70-80</t>
  </si>
  <si>
    <t>80-90</t>
  </si>
  <si>
    <t>90-100</t>
  </si>
  <si>
    <t>Parcial I</t>
  </si>
  <si>
    <t>Parcial II</t>
  </si>
  <si>
    <t>Parcial III</t>
  </si>
  <si>
    <t>AAAAAG/3f10=</t>
  </si>
  <si>
    <t>AAAAAG/3f14=</t>
  </si>
  <si>
    <t>CI-0115   Probabilidad y Estadística</t>
  </si>
  <si>
    <t>T1 - Autoevaluación y Coevaluación</t>
  </si>
  <si>
    <t>AE&amp;CE</t>
  </si>
  <si>
    <t>Autoevaluación y Coevaluación</t>
  </si>
  <si>
    <t>T2 - Autoevaluación y Coevaluación</t>
  </si>
  <si>
    <t>T3 - Autoevaluación y Coevaluación</t>
  </si>
  <si>
    <t>T4 - Autoevaluación y Coevaluación</t>
  </si>
  <si>
    <t>Control de Asistencia</t>
  </si>
  <si>
    <t>7. Asistencia</t>
  </si>
  <si>
    <t>Promedio AE y CE</t>
  </si>
  <si>
    <t>Promedio Final AC</t>
  </si>
  <si>
    <t>Porcentaje</t>
  </si>
  <si>
    <t>Promedio Final Proy.</t>
  </si>
  <si>
    <t>Asist. Javier Herrera Mora</t>
  </si>
  <si>
    <t>B90696</t>
  </si>
  <si>
    <t>B90807</t>
  </si>
  <si>
    <t>B91399</t>
  </si>
  <si>
    <t>B91554</t>
  </si>
  <si>
    <t>B83007</t>
  </si>
  <si>
    <t>B93144</t>
  </si>
  <si>
    <t>B93929</t>
  </si>
  <si>
    <t>A33044</t>
  </si>
  <si>
    <t>B94915</t>
  </si>
  <si>
    <t>B54727</t>
  </si>
  <si>
    <t>B95487</t>
  </si>
  <si>
    <t>B85560</t>
  </si>
  <si>
    <t>B85580</t>
  </si>
  <si>
    <t>B95549</t>
  </si>
  <si>
    <t>B65434</t>
  </si>
  <si>
    <t>B15379</t>
  </si>
  <si>
    <t>B98243</t>
  </si>
  <si>
    <t>B98410</t>
  </si>
  <si>
    <t>B98621</t>
  </si>
  <si>
    <t>B98729</t>
  </si>
  <si>
    <t>Grupo 01</t>
  </si>
  <si>
    <t>Ciclo Lectivo II-2020</t>
  </si>
  <si>
    <t>Autoevaluación y Coevaluación - I Etapa</t>
  </si>
  <si>
    <t>I Etapa</t>
  </si>
  <si>
    <t>Auto-CoEv</t>
  </si>
  <si>
    <t>II Etapa</t>
  </si>
  <si>
    <t>III Etapa</t>
  </si>
  <si>
    <t>Autoevaluación y Coevaluación - III Etapa</t>
  </si>
  <si>
    <t>Autoevaluación y Coevaluación - II Etapa</t>
  </si>
  <si>
    <t>Prom. I Etapa</t>
  </si>
  <si>
    <t>Prom. II Etapa</t>
  </si>
  <si>
    <t>Prom. III Etapa</t>
  </si>
  <si>
    <t>Proyecto: Análisis de Datos</t>
  </si>
  <si>
    <t>PE</t>
  </si>
  <si>
    <t>% PE</t>
  </si>
  <si>
    <t>I Etrega</t>
  </si>
  <si>
    <t>II Etrega</t>
  </si>
  <si>
    <t>III Entrega</t>
  </si>
  <si>
    <t>I Entrega</t>
  </si>
  <si>
    <t>1. Presentación</t>
  </si>
  <si>
    <t>2. Creatividad y personalización</t>
  </si>
  <si>
    <t>3. Redacción y ortografía</t>
  </si>
  <si>
    <t>4. Equilibrio en la información</t>
  </si>
  <si>
    <t>5. Organización e integración</t>
  </si>
  <si>
    <t>6. Aportación y originalidad</t>
  </si>
  <si>
    <t>7. Implicación, participación y compromiso</t>
  </si>
  <si>
    <t>II Entrega</t>
  </si>
  <si>
    <t>2. Creatividad, originalidad y personalización</t>
  </si>
  <si>
    <t>3. Materiales: accesibilidad, redacción y ortografía, organización e integración</t>
  </si>
  <si>
    <t>4. Cantidad y calidad de los recursos empleados</t>
  </si>
  <si>
    <t>5. Adecuación de los contenidos</t>
  </si>
  <si>
    <t>6. Implicación, participación y compromiso</t>
  </si>
  <si>
    <t>Parejas</t>
  </si>
  <si>
    <t>Retroalimentación</t>
  </si>
  <si>
    <t>% Retro</t>
  </si>
  <si>
    <t>Portafolio de Evidencias</t>
  </si>
  <si>
    <t>Lista de Ganadores</t>
  </si>
  <si>
    <t>B41713</t>
  </si>
  <si>
    <t>B54239</t>
  </si>
  <si>
    <t>B35054</t>
  </si>
  <si>
    <t>B96632</t>
  </si>
  <si>
    <t>B66590</t>
  </si>
  <si>
    <t>B87645</t>
  </si>
  <si>
    <t>B78383</t>
  </si>
  <si>
    <t>*</t>
  </si>
  <si>
    <t>7. Involucramiento</t>
  </si>
  <si>
    <t>+</t>
  </si>
  <si>
    <t>Ptos.Extra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</si>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</sst>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"/>
    <numFmt numFmtId="166" formatCode="0.0%"/>
  </numFmts>
  <fonts count="10" x14ac:knownFonts="1">
    <font>
      <sz val="10"/>
      <name val="Arial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sz val="10"/>
      <color indexed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32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51"/>
        <bgColor indexed="13"/>
      </patternFill>
    </fill>
    <fill>
      <patternFill patternType="solid">
        <fgColor indexed="14"/>
        <bgColor indexed="33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/>
    <xf numFmtId="0" fontId="3" fillId="0" borderId="0" xfId="0" applyFont="1" applyBorder="1" applyAlignment="1"/>
    <xf numFmtId="0" fontId="4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/>
    </xf>
    <xf numFmtId="2" fontId="5" fillId="0" borderId="3" xfId="0" applyNumberFormat="1" applyFont="1" applyFill="1" applyBorder="1" applyAlignment="1">
      <alignment horizontal="center"/>
    </xf>
    <xf numFmtId="2" fontId="5" fillId="4" borderId="3" xfId="0" applyNumberFormat="1" applyFont="1" applyFill="1" applyBorder="1" applyAlignment="1">
      <alignment horizontal="center"/>
    </xf>
    <xf numFmtId="2" fontId="5" fillId="5" borderId="3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0" fontId="8" fillId="0" borderId="0" xfId="1"/>
    <xf numFmtId="0" fontId="8" fillId="0" borderId="0" xfId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/>
    <xf numFmtId="0" fontId="4" fillId="2" borderId="3" xfId="1" applyFont="1" applyFill="1" applyBorder="1" applyAlignment="1">
      <alignment horizontal="center" vertical="center"/>
    </xf>
    <xf numFmtId="2" fontId="5" fillId="4" borderId="3" xfId="1" applyNumberFormat="1" applyFont="1" applyFill="1" applyBorder="1" applyAlignment="1">
      <alignment horizontal="center"/>
    </xf>
    <xf numFmtId="0" fontId="3" fillId="0" borderId="0" xfId="1" applyFont="1" applyBorder="1" applyAlignment="1"/>
    <xf numFmtId="1" fontId="5" fillId="0" borderId="3" xfId="1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right" vertical="center"/>
    </xf>
    <xf numFmtId="1" fontId="6" fillId="0" borderId="3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/>
    </xf>
    <xf numFmtId="2" fontId="7" fillId="0" borderId="4" xfId="1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/>
    </xf>
    <xf numFmtId="2" fontId="5" fillId="6" borderId="3" xfId="1" applyNumberFormat="1" applyFont="1" applyFill="1" applyBorder="1" applyAlignment="1">
      <alignment horizontal="center"/>
    </xf>
    <xf numFmtId="2" fontId="5" fillId="7" borderId="3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 vertical="center"/>
    </xf>
    <xf numFmtId="0" fontId="8" fillId="0" borderId="0" xfId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8" fillId="0" borderId="0" xfId="2"/>
    <xf numFmtId="0" fontId="4" fillId="2" borderId="6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2" fontId="7" fillId="0" borderId="4" xfId="2" applyNumberFormat="1" applyFont="1" applyBorder="1" applyAlignment="1">
      <alignment horizontal="center"/>
    </xf>
    <xf numFmtId="2" fontId="7" fillId="6" borderId="4" xfId="2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7" fillId="0" borderId="0" xfId="2" applyNumberFormat="1" applyFont="1" applyBorder="1" applyAlignment="1">
      <alignment horizontal="center"/>
    </xf>
    <xf numFmtId="2" fontId="7" fillId="0" borderId="0" xfId="2" applyNumberFormat="1" applyFont="1" applyFill="1" applyBorder="1" applyAlignment="1">
      <alignment horizontal="center"/>
    </xf>
    <xf numFmtId="164" fontId="4" fillId="2" borderId="6" xfId="2" applyNumberFormat="1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2" fontId="5" fillId="4" borderId="3" xfId="2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9" fontId="6" fillId="0" borderId="3" xfId="1" applyNumberFormat="1" applyFont="1" applyFill="1" applyBorder="1" applyAlignment="1">
      <alignment horizontal="center" vertical="center"/>
    </xf>
    <xf numFmtId="9" fontId="5" fillId="0" borderId="3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0" borderId="1" xfId="1" applyFont="1" applyBorder="1"/>
    <xf numFmtId="49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right" vertical="center"/>
    </xf>
    <xf numFmtId="1" fontId="6" fillId="0" borderId="3" xfId="1" applyNumberFormat="1" applyFont="1" applyBorder="1" applyAlignment="1">
      <alignment horizontal="center" vertical="center"/>
    </xf>
    <xf numFmtId="9" fontId="6" fillId="0" borderId="3" xfId="1" applyNumberFormat="1" applyFont="1" applyBorder="1" applyAlignment="1">
      <alignment horizontal="center" vertical="center"/>
    </xf>
    <xf numFmtId="1" fontId="7" fillId="0" borderId="4" xfId="2" applyNumberFormat="1" applyFont="1" applyBorder="1" applyAlignment="1">
      <alignment horizontal="center"/>
    </xf>
    <xf numFmtId="2" fontId="5" fillId="4" borderId="3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5" fillId="0" borderId="3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5" fillId="8" borderId="3" xfId="0" applyNumberFormat="1" applyFont="1" applyFill="1" applyBorder="1" applyAlignment="1">
      <alignment horizontal="left" vertical="center"/>
    </xf>
    <xf numFmtId="1" fontId="5" fillId="8" borderId="3" xfId="1" applyNumberFormat="1" applyFont="1" applyFill="1" applyBorder="1" applyAlignment="1">
      <alignment horizontal="center" vertical="center"/>
    </xf>
    <xf numFmtId="9" fontId="5" fillId="8" borderId="3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328613</xdr:colOff>
      <xdr:row>34</xdr:row>
      <xdr:rowOff>138113</xdr:rowOff>
    </xdr:to>
    <xdr:sp macro="" textlink="">
      <xdr:nvSpPr>
        <xdr:cNvPr id="10473" name="AutoShape 1">
          <a:extLst>
            <a:ext uri="{FF2B5EF4-FFF2-40B4-BE49-F238E27FC236}">
              <a16:creationId xmlns:a16="http://schemas.microsoft.com/office/drawing/2014/main" id="{DD0A2744-9F40-47E8-BA5E-4E07A3863D1A}"/>
            </a:ext>
          </a:extLst>
        </xdr:cNvPr>
        <xdr:cNvSpPr>
          <a:spLocks noChangeArrowheads="1"/>
        </xdr:cNvSpPr>
      </xdr:nvSpPr>
      <xdr:spPr bwMode="auto">
        <a:xfrm>
          <a:off x="7062788" y="4343400"/>
          <a:ext cx="328612" cy="300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0115_G03_II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oria"/>
      <sheetName val="Teoria_Grace"/>
      <sheetName val="Retroalimentacion"/>
      <sheetName val="Proyecto"/>
      <sheetName val="PortafolioEvidencias"/>
      <sheetName val="AprendizajeColaborativo"/>
      <sheetName val="AprendizajeColaborativo_P1"/>
      <sheetName val="AprendizajeColaborativo_P2"/>
      <sheetName val="AprendizajeColaborativo_P3"/>
      <sheetName val="AprendizajeColaborativo_P4"/>
      <sheetName val="Quices"/>
      <sheetName val="Tareas"/>
      <sheetName val="Examenes"/>
      <sheetName val="Equipos Colaborativos"/>
      <sheetName val="DV-IDENTITY-0"/>
    </sheetNames>
    <sheetDataSet>
      <sheetData sheetId="0">
        <row r="8">
          <cell r="A8" t="str">
            <v>Carné</v>
          </cell>
          <cell r="B8" t="str">
            <v>Nombre Completo</v>
          </cell>
          <cell r="C8" t="str">
            <v>Retroalimentación</v>
          </cell>
          <cell r="D8" t="str">
            <v>% Retro</v>
          </cell>
          <cell r="E8" t="str">
            <v>PE</v>
          </cell>
          <cell r="F8" t="str">
            <v>% PE</v>
          </cell>
          <cell r="G8" t="str">
            <v>AC</v>
          </cell>
          <cell r="H8" t="str">
            <v>% AC</v>
          </cell>
          <cell r="I8" t="str">
            <v>Quices</v>
          </cell>
          <cell r="J8" t="str">
            <v>% Quices</v>
          </cell>
          <cell r="K8" t="str">
            <v>Tareas</v>
          </cell>
          <cell r="L8" t="str">
            <v>% Tareas</v>
          </cell>
          <cell r="M8" t="str">
            <v>Nota Proy.</v>
          </cell>
          <cell r="N8" t="str">
            <v>% Proy.</v>
          </cell>
          <cell r="O8" t="str">
            <v>I Parcial</v>
          </cell>
          <cell r="P8" t="str">
            <v>II Parcial</v>
          </cell>
          <cell r="Q8" t="str">
            <v>III Parcial</v>
          </cell>
          <cell r="R8" t="str">
            <v>% Examenes</v>
          </cell>
          <cell r="S8" t="str">
            <v>Ptos.Extra</v>
          </cell>
          <cell r="T8" t="str">
            <v>Nota</v>
          </cell>
        </row>
        <row r="9">
          <cell r="A9" t="str">
            <v>B60086</v>
          </cell>
          <cell r="B9" t="str">
            <v xml:space="preserve">AGUERO CORDERO ARILSON FERNANDO  </v>
          </cell>
          <cell r="C9">
            <v>65.099999999999994</v>
          </cell>
          <cell r="D9">
            <v>6.51</v>
          </cell>
          <cell r="E9">
            <v>98.333333333333329</v>
          </cell>
          <cell r="F9">
            <v>9.8333333333333339</v>
          </cell>
          <cell r="G9">
            <v>99.168750000000003</v>
          </cell>
          <cell r="H9">
            <v>9.916875000000001</v>
          </cell>
          <cell r="I9">
            <v>90.763333333333335</v>
          </cell>
          <cell r="J9">
            <v>4.5381666666666671</v>
          </cell>
          <cell r="K9">
            <v>73.75</v>
          </cell>
          <cell r="L9">
            <v>3.6875</v>
          </cell>
          <cell r="M9">
            <v>92.083333333333329</v>
          </cell>
          <cell r="N9">
            <v>27.624999999999996</v>
          </cell>
          <cell r="O9">
            <v>90</v>
          </cell>
          <cell r="P9">
            <v>82</v>
          </cell>
          <cell r="Q9">
            <v>0</v>
          </cell>
          <cell r="R9">
            <v>17.200000000000003</v>
          </cell>
          <cell r="S9">
            <v>0</v>
          </cell>
          <cell r="T9">
            <v>79.310874999999996</v>
          </cell>
        </row>
        <row r="10">
          <cell r="A10" t="str">
            <v>B90272</v>
          </cell>
          <cell r="B10" t="str">
            <v xml:space="preserve">ALVARADO ACON ANDREA MARISSA  </v>
          </cell>
          <cell r="C10">
            <v>98.5</v>
          </cell>
          <cell r="D10">
            <v>9.8500000000000014</v>
          </cell>
          <cell r="E10">
            <v>100</v>
          </cell>
          <cell r="F10">
            <v>10</v>
          </cell>
          <cell r="G10">
            <v>98.95</v>
          </cell>
          <cell r="H10">
            <v>9.8950000000000014</v>
          </cell>
          <cell r="I10">
            <v>95.096666666666678</v>
          </cell>
          <cell r="J10">
            <v>4.7548333333333339</v>
          </cell>
          <cell r="K10">
            <v>87.25</v>
          </cell>
          <cell r="L10">
            <v>4.3624999999999998</v>
          </cell>
          <cell r="M10">
            <v>98.541666666666671</v>
          </cell>
          <cell r="N10">
            <v>29.5625</v>
          </cell>
          <cell r="O10">
            <v>93</v>
          </cell>
          <cell r="P10">
            <v>100</v>
          </cell>
          <cell r="Q10">
            <v>100</v>
          </cell>
          <cell r="R10">
            <v>29.3</v>
          </cell>
          <cell r="S10">
            <v>2.5</v>
          </cell>
          <cell r="T10">
            <v>100.22483333333334</v>
          </cell>
        </row>
        <row r="11">
          <cell r="A11" t="str">
            <v>B80284</v>
          </cell>
          <cell r="B11" t="str">
            <v xml:space="preserve">ALVARADO ALFARO FRANK FABIAN  </v>
          </cell>
          <cell r="C11">
            <v>100</v>
          </cell>
          <cell r="D11">
            <v>10</v>
          </cell>
          <cell r="E11">
            <v>98</v>
          </cell>
          <cell r="F11">
            <v>9.8000000000000007</v>
          </cell>
          <cell r="G11">
            <v>99.693749999999994</v>
          </cell>
          <cell r="H11">
            <v>9.9693749999999994</v>
          </cell>
          <cell r="I11">
            <v>90.046666666666667</v>
          </cell>
          <cell r="J11">
            <v>4.5023333333333335</v>
          </cell>
          <cell r="K11">
            <v>83.25</v>
          </cell>
          <cell r="L11">
            <v>4.1625000000000005</v>
          </cell>
          <cell r="M11">
            <v>96.041666666666671</v>
          </cell>
          <cell r="N11">
            <v>28.8125</v>
          </cell>
          <cell r="O11">
            <v>95</v>
          </cell>
          <cell r="P11">
            <v>96</v>
          </cell>
          <cell r="Q11">
            <v>0</v>
          </cell>
          <cell r="R11">
            <v>19.100000000000001</v>
          </cell>
          <cell r="S11">
            <v>2.2222222222222223</v>
          </cell>
          <cell r="T11">
            <v>88.568930555555568</v>
          </cell>
        </row>
        <row r="12">
          <cell r="A12" t="str">
            <v>B70771</v>
          </cell>
          <cell r="B12" t="str">
            <v xml:space="preserve">ARTAVIA CORDERO DANIEL ALEJANDRO  </v>
          </cell>
          <cell r="C12">
            <v>100</v>
          </cell>
          <cell r="D12">
            <v>10</v>
          </cell>
          <cell r="E12">
            <v>98</v>
          </cell>
          <cell r="F12">
            <v>9.8000000000000007</v>
          </cell>
          <cell r="G12">
            <v>99.693749999999994</v>
          </cell>
          <cell r="H12">
            <v>9.9693749999999994</v>
          </cell>
          <cell r="I12">
            <v>90.046666666666667</v>
          </cell>
          <cell r="J12">
            <v>4.5023333333333335</v>
          </cell>
          <cell r="K12">
            <v>83.25</v>
          </cell>
          <cell r="L12">
            <v>4.1625000000000005</v>
          </cell>
          <cell r="M12">
            <v>96.041666666666671</v>
          </cell>
          <cell r="N12">
            <v>28.8125</v>
          </cell>
          <cell r="O12">
            <v>95</v>
          </cell>
          <cell r="P12">
            <v>92</v>
          </cell>
          <cell r="Q12">
            <v>0</v>
          </cell>
          <cell r="R12">
            <v>18.700000000000003</v>
          </cell>
          <cell r="S12">
            <v>0.27777777777777779</v>
          </cell>
          <cell r="T12">
            <v>86.224486111111119</v>
          </cell>
        </row>
        <row r="13">
          <cell r="A13" t="str">
            <v>B50966</v>
          </cell>
          <cell r="B13" t="str">
            <v xml:space="preserve">BATISTA BONICHE KENTY BERLIOTH  </v>
          </cell>
          <cell r="C13">
            <v>100</v>
          </cell>
          <cell r="D13">
            <v>10</v>
          </cell>
          <cell r="E13">
            <v>98.333333333333329</v>
          </cell>
          <cell r="F13">
            <v>9.8333333333333339</v>
          </cell>
          <cell r="G13">
            <v>99.168750000000003</v>
          </cell>
          <cell r="H13">
            <v>9.916875000000001</v>
          </cell>
          <cell r="I13">
            <v>90.763333333333335</v>
          </cell>
          <cell r="J13">
            <v>4.5381666666666671</v>
          </cell>
          <cell r="K13">
            <v>96.25</v>
          </cell>
          <cell r="L13">
            <v>4.8125</v>
          </cell>
          <cell r="M13">
            <v>92.083333333333329</v>
          </cell>
          <cell r="N13">
            <v>27.624999999999996</v>
          </cell>
          <cell r="O13">
            <v>74</v>
          </cell>
          <cell r="P13">
            <v>82</v>
          </cell>
          <cell r="Q13">
            <v>90</v>
          </cell>
          <cell r="R13">
            <v>24.6</v>
          </cell>
          <cell r="S13">
            <v>1.6666666666666667</v>
          </cell>
          <cell r="T13">
            <v>92.992541666666668</v>
          </cell>
        </row>
        <row r="14">
          <cell r="A14" t="str">
            <v>B61792</v>
          </cell>
          <cell r="B14" t="str">
            <v xml:space="preserve">CERDAS HERNANDEZ DAVID JESUS  </v>
          </cell>
          <cell r="C14">
            <v>65.099999999999994</v>
          </cell>
          <cell r="D14">
            <v>6.51</v>
          </cell>
          <cell r="E14">
            <v>98</v>
          </cell>
          <cell r="F14">
            <v>9.8000000000000007</v>
          </cell>
          <cell r="G14">
            <v>99.168750000000003</v>
          </cell>
          <cell r="H14">
            <v>9.916875000000001</v>
          </cell>
          <cell r="I14">
            <v>90.763333333333335</v>
          </cell>
          <cell r="J14">
            <v>4.5381666666666671</v>
          </cell>
          <cell r="K14">
            <v>73.75</v>
          </cell>
          <cell r="L14">
            <v>3.6875</v>
          </cell>
          <cell r="M14">
            <v>92.083333333333329</v>
          </cell>
          <cell r="N14">
            <v>27.624999999999996</v>
          </cell>
          <cell r="O14">
            <v>90</v>
          </cell>
          <cell r="P14">
            <v>82</v>
          </cell>
          <cell r="Q14">
            <v>0</v>
          </cell>
          <cell r="R14">
            <v>17.200000000000003</v>
          </cell>
          <cell r="S14">
            <v>0</v>
          </cell>
          <cell r="T14">
            <v>79.277541666666664</v>
          </cell>
        </row>
        <row r="15">
          <cell r="A15" t="str">
            <v>B92277</v>
          </cell>
          <cell r="B15" t="str">
            <v xml:space="preserve">CONTRERAS ARAYA RODRIGO  </v>
          </cell>
          <cell r="C15">
            <v>100</v>
          </cell>
          <cell r="D15">
            <v>10</v>
          </cell>
          <cell r="E15">
            <v>100</v>
          </cell>
          <cell r="F15">
            <v>10</v>
          </cell>
          <cell r="G15">
            <v>97.1875</v>
          </cell>
          <cell r="H15">
            <v>9.71875</v>
          </cell>
          <cell r="I15">
            <v>90.43</v>
          </cell>
          <cell r="J15">
            <v>4.5215000000000005</v>
          </cell>
          <cell r="K15">
            <v>86.125</v>
          </cell>
          <cell r="L15">
            <v>4.3062500000000004</v>
          </cell>
          <cell r="M15">
            <v>94.444444444444429</v>
          </cell>
          <cell r="N15">
            <v>28.333333333333329</v>
          </cell>
          <cell r="O15">
            <v>95</v>
          </cell>
          <cell r="P15">
            <v>100</v>
          </cell>
          <cell r="Q15">
            <v>90</v>
          </cell>
          <cell r="R15">
            <v>28.5</v>
          </cell>
          <cell r="S15">
            <v>1.3888888888888888</v>
          </cell>
          <cell r="T15">
            <v>96.768722222222209</v>
          </cell>
        </row>
        <row r="16">
          <cell r="A16" t="str">
            <v>B82558</v>
          </cell>
          <cell r="B16" t="str">
            <v xml:space="preserve">DELGADO MORALES GRACE ELIETH 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85.25</v>
          </cell>
          <cell r="J16">
            <v>4.2625000000000002</v>
          </cell>
          <cell r="K16">
            <v>50</v>
          </cell>
          <cell r="L16">
            <v>2.5</v>
          </cell>
          <cell r="M16">
            <v>0</v>
          </cell>
          <cell r="N16">
            <v>0</v>
          </cell>
          <cell r="O16">
            <v>62</v>
          </cell>
          <cell r="P16">
            <v>90</v>
          </cell>
          <cell r="Q16">
            <v>90</v>
          </cell>
          <cell r="R16">
            <v>24.2</v>
          </cell>
          <cell r="S16">
            <v>0</v>
          </cell>
          <cell r="T16">
            <v>30.962499999999999</v>
          </cell>
        </row>
        <row r="17">
          <cell r="A17" t="str">
            <v>B92570</v>
          </cell>
          <cell r="B17" t="str">
            <v xml:space="preserve">DELGADO VARGAS JOSE DAVID  </v>
          </cell>
          <cell r="C17">
            <v>98.5</v>
          </cell>
          <cell r="D17">
            <v>9.8500000000000014</v>
          </cell>
          <cell r="E17">
            <v>100</v>
          </cell>
          <cell r="F17">
            <v>10</v>
          </cell>
          <cell r="G17">
            <v>98.95</v>
          </cell>
          <cell r="H17">
            <v>9.8950000000000014</v>
          </cell>
          <cell r="I17">
            <v>95.096666666666678</v>
          </cell>
          <cell r="J17">
            <v>4.7548333333333339</v>
          </cell>
          <cell r="K17">
            <v>87.25</v>
          </cell>
          <cell r="L17">
            <v>4.3624999999999998</v>
          </cell>
          <cell r="M17">
            <v>98.541666666666671</v>
          </cell>
          <cell r="N17">
            <v>29.5625</v>
          </cell>
          <cell r="O17">
            <v>100</v>
          </cell>
          <cell r="P17">
            <v>81</v>
          </cell>
          <cell r="Q17">
            <v>100</v>
          </cell>
          <cell r="R17">
            <v>28.1</v>
          </cell>
          <cell r="S17">
            <v>3.0555555555555554</v>
          </cell>
          <cell r="T17">
            <v>99.580388888888891</v>
          </cell>
        </row>
        <row r="18">
          <cell r="A18" t="str">
            <v>B92911</v>
          </cell>
          <cell r="B18" t="str">
            <v xml:space="preserve">FERNANDEZ BALDIZON EDUARDO  </v>
          </cell>
          <cell r="C18">
            <v>100</v>
          </cell>
          <cell r="D18">
            <v>10</v>
          </cell>
          <cell r="E18">
            <v>100</v>
          </cell>
          <cell r="F18">
            <v>10</v>
          </cell>
          <cell r="G18">
            <v>99.5625</v>
          </cell>
          <cell r="H18">
            <v>9.9562500000000007</v>
          </cell>
          <cell r="I18">
            <v>92.333333333333329</v>
          </cell>
          <cell r="J18">
            <v>4.6166666666666663</v>
          </cell>
          <cell r="K18">
            <v>86.9375</v>
          </cell>
          <cell r="L18">
            <v>4.3468749999999998</v>
          </cell>
          <cell r="M18">
            <v>98.958333333333329</v>
          </cell>
          <cell r="N18">
            <v>29.687499999999996</v>
          </cell>
          <cell r="O18">
            <v>93</v>
          </cell>
          <cell r="P18">
            <v>62</v>
          </cell>
          <cell r="Q18">
            <v>0</v>
          </cell>
          <cell r="R18">
            <v>15.5</v>
          </cell>
          <cell r="S18">
            <v>0</v>
          </cell>
          <cell r="T18">
            <v>84.107291666666654</v>
          </cell>
        </row>
        <row r="19">
          <cell r="A19" t="str">
            <v>B93825</v>
          </cell>
          <cell r="B19" t="str">
            <v xml:space="preserve">HERNANDEZ YOUNG ADRIAN  </v>
          </cell>
          <cell r="C19">
            <v>100</v>
          </cell>
          <cell r="D19">
            <v>10</v>
          </cell>
          <cell r="E19">
            <v>100</v>
          </cell>
          <cell r="F19">
            <v>10</v>
          </cell>
          <cell r="G19">
            <v>96.770833333333329</v>
          </cell>
          <cell r="H19">
            <v>9.6770833333333339</v>
          </cell>
          <cell r="I19">
            <v>90.43</v>
          </cell>
          <cell r="J19">
            <v>4.5215000000000005</v>
          </cell>
          <cell r="K19">
            <v>86.020833333333343</v>
          </cell>
          <cell r="L19">
            <v>4.3010416666666673</v>
          </cell>
          <cell r="M19">
            <v>94.722222222222229</v>
          </cell>
          <cell r="N19">
            <v>28.416666666666668</v>
          </cell>
          <cell r="O19">
            <v>95</v>
          </cell>
          <cell r="P19">
            <v>100</v>
          </cell>
          <cell r="Q19">
            <v>90</v>
          </cell>
          <cell r="R19">
            <v>28.5</v>
          </cell>
          <cell r="S19">
            <v>0.55555555555555558</v>
          </cell>
          <cell r="T19">
            <v>95.971847222222237</v>
          </cell>
        </row>
        <row r="20">
          <cell r="A20" t="str">
            <v>B93986</v>
          </cell>
          <cell r="B20" t="str">
            <v xml:space="preserve">JIMENEZ AGUILAR LUIS ALFONSO  </v>
          </cell>
          <cell r="C20">
            <v>97.75</v>
          </cell>
          <cell r="D20">
            <v>9.7750000000000004</v>
          </cell>
          <cell r="E20">
            <v>100</v>
          </cell>
          <cell r="F20">
            <v>10</v>
          </cell>
          <cell r="G20">
            <v>97.083333333333329</v>
          </cell>
          <cell r="H20">
            <v>9.7083333333333339</v>
          </cell>
          <cell r="I20">
            <v>90.43</v>
          </cell>
          <cell r="J20">
            <v>4.5215000000000005</v>
          </cell>
          <cell r="K20">
            <v>86.020833333333343</v>
          </cell>
          <cell r="L20">
            <v>4.3010416666666673</v>
          </cell>
          <cell r="M20">
            <v>94.305555555555557</v>
          </cell>
          <cell r="N20">
            <v>28.291666666666668</v>
          </cell>
          <cell r="O20">
            <v>97</v>
          </cell>
          <cell r="P20">
            <v>88</v>
          </cell>
          <cell r="Q20">
            <v>90</v>
          </cell>
          <cell r="R20">
            <v>27.5</v>
          </cell>
          <cell r="S20">
            <v>1.3888888888888888</v>
          </cell>
          <cell r="T20">
            <v>95.486430555555557</v>
          </cell>
        </row>
        <row r="21">
          <cell r="A21" t="str">
            <v>B94788</v>
          </cell>
          <cell r="B21" t="str">
            <v xml:space="preserve">MENDEZ LOPEZ ROBERTO CARLOS  </v>
          </cell>
          <cell r="C21">
            <v>98</v>
          </cell>
          <cell r="D21">
            <v>9.8000000000000007</v>
          </cell>
          <cell r="E21">
            <v>99.333333333333329</v>
          </cell>
          <cell r="F21">
            <v>9.9333333333333336</v>
          </cell>
          <cell r="G21">
            <v>97.041666666666671</v>
          </cell>
          <cell r="H21">
            <v>9.7041666666666675</v>
          </cell>
          <cell r="I21">
            <v>74.81</v>
          </cell>
          <cell r="J21">
            <v>3.7405000000000004</v>
          </cell>
          <cell r="K21">
            <v>97.041666666666657</v>
          </cell>
          <cell r="L21">
            <v>4.8520833333333329</v>
          </cell>
          <cell r="M21">
            <v>93.6111111111111</v>
          </cell>
          <cell r="N21">
            <v>28.083333333333329</v>
          </cell>
          <cell r="O21">
            <v>100</v>
          </cell>
          <cell r="P21">
            <v>94</v>
          </cell>
          <cell r="Q21">
            <v>0</v>
          </cell>
          <cell r="R21">
            <v>19.399999999999999</v>
          </cell>
          <cell r="S21">
            <v>1.3888888888888888</v>
          </cell>
          <cell r="T21">
            <v>86.902305555555557</v>
          </cell>
        </row>
        <row r="22">
          <cell r="A22" t="str">
            <v>B95016</v>
          </cell>
          <cell r="B22" t="str">
            <v xml:space="preserve">MONTERO CASTRO SEBASTIAN  </v>
          </cell>
          <cell r="C22">
            <v>96</v>
          </cell>
          <cell r="D22">
            <v>9.6000000000000014</v>
          </cell>
          <cell r="E22">
            <v>100</v>
          </cell>
          <cell r="F22">
            <v>10</v>
          </cell>
          <cell r="G22">
            <v>98.95</v>
          </cell>
          <cell r="H22">
            <v>9.8950000000000014</v>
          </cell>
          <cell r="I22">
            <v>95.096666666666678</v>
          </cell>
          <cell r="J22">
            <v>4.7548333333333339</v>
          </cell>
          <cell r="K22">
            <v>87.25</v>
          </cell>
          <cell r="L22">
            <v>4.3624999999999998</v>
          </cell>
          <cell r="M22">
            <v>98.541666666666671</v>
          </cell>
          <cell r="N22">
            <v>29.5625</v>
          </cell>
          <cell r="O22">
            <v>100</v>
          </cell>
          <cell r="P22">
            <v>81</v>
          </cell>
          <cell r="Q22">
            <v>100</v>
          </cell>
          <cell r="R22">
            <v>28.1</v>
          </cell>
          <cell r="S22">
            <v>0.83333333333333337</v>
          </cell>
          <cell r="T22">
            <v>97.108166666666662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workbookViewId="0">
      <pane xSplit="1" ySplit="8" topLeftCell="B9" activePane="bottomRight" state="frozen"/>
      <selection pane="topRight" activeCell="C1" sqref="C1"/>
      <selection pane="bottomLeft" activeCell="A9" sqref="A9"/>
      <selection pane="bottomRight" activeCell="G21" sqref="G21"/>
    </sheetView>
  </sheetViews>
  <sheetFormatPr baseColWidth="10" defaultRowHeight="12.75" x14ac:dyDescent="0.35"/>
  <cols>
    <col min="1" max="1" width="8.73046875" customWidth="1"/>
    <col min="2" max="2" width="15.265625" bestFit="1" customWidth="1"/>
    <col min="3" max="7" width="10.59765625" customWidth="1"/>
    <col min="8" max="11" width="10.73046875" customWidth="1"/>
    <col min="12" max="12" width="11.86328125" customWidth="1"/>
    <col min="13" max="20" width="10.73046875" customWidth="1"/>
    <col min="21" max="21" width="14.73046875" customWidth="1"/>
    <col min="22" max="258" width="9.06640625" customWidth="1"/>
  </cols>
  <sheetData>
    <row r="1" spans="1:22" ht="15" x14ac:dyDescent="0.4">
      <c r="A1" s="67" t="s">
        <v>67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2" ht="15" x14ac:dyDescent="0.4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2" ht="15" x14ac:dyDescent="0.4">
      <c r="A3" s="69" t="s">
        <v>80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</row>
    <row r="4" spans="1:22" ht="15" x14ac:dyDescent="0.4">
      <c r="A4" s="67" t="s">
        <v>102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22" ht="15" x14ac:dyDescent="0.4">
      <c r="A5" s="67" t="s">
        <v>101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2" ht="15" x14ac:dyDescent="0.4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</row>
    <row r="7" spans="1:22" ht="13.15" x14ac:dyDescent="0.4">
      <c r="A7" s="1"/>
      <c r="B7" s="1"/>
      <c r="C7" s="1"/>
      <c r="D7" s="1"/>
      <c r="E7" s="1"/>
      <c r="F7" s="1"/>
      <c r="G7" s="1"/>
      <c r="H7" s="2"/>
      <c r="I7" s="2"/>
      <c r="J7" s="3"/>
      <c r="K7" s="3"/>
      <c r="L7" s="3"/>
      <c r="M7" s="3"/>
      <c r="N7" s="3"/>
      <c r="O7" s="3"/>
      <c r="P7" s="3"/>
      <c r="Q7" s="3"/>
      <c r="R7" s="3"/>
    </row>
    <row r="8" spans="1:22" x14ac:dyDescent="0.35">
      <c r="A8" s="4" t="s">
        <v>2</v>
      </c>
      <c r="B8" s="4" t="s">
        <v>134</v>
      </c>
      <c r="C8" s="4" t="s">
        <v>135</v>
      </c>
      <c r="D8" s="4" t="s">
        <v>114</v>
      </c>
      <c r="E8" s="4" t="s">
        <v>115</v>
      </c>
      <c r="F8" s="4" t="s">
        <v>3</v>
      </c>
      <c r="G8" s="4" t="s">
        <v>4</v>
      </c>
      <c r="H8" s="4" t="s">
        <v>5</v>
      </c>
      <c r="I8" s="4" t="s">
        <v>6</v>
      </c>
      <c r="J8" s="4" t="s">
        <v>7</v>
      </c>
      <c r="K8" s="4" t="s">
        <v>8</v>
      </c>
      <c r="L8" s="4" t="s">
        <v>9</v>
      </c>
      <c r="M8" s="4" t="s">
        <v>10</v>
      </c>
      <c r="N8" s="4" t="s">
        <v>11</v>
      </c>
      <c r="O8" s="4" t="s">
        <v>12</v>
      </c>
      <c r="P8" s="4" t="s">
        <v>13</v>
      </c>
      <c r="Q8" s="4" t="s">
        <v>14</v>
      </c>
      <c r="R8" s="4" t="s">
        <v>148</v>
      </c>
      <c r="S8" s="4" t="s">
        <v>15</v>
      </c>
      <c r="T8" s="4" t="s">
        <v>16</v>
      </c>
      <c r="U8" s="4" t="s">
        <v>17</v>
      </c>
    </row>
    <row r="9" spans="1:22" ht="13.15" x14ac:dyDescent="0.4">
      <c r="A9" s="5" t="s">
        <v>81</v>
      </c>
      <c r="B9" s="7">
        <f>Retroalimentacion!H4</f>
        <v>90</v>
      </c>
      <c r="C9" s="8">
        <f>B9*0.1</f>
        <v>9</v>
      </c>
      <c r="D9" s="7">
        <f>PortafolioEvidencias!E4</f>
        <v>99.333333333333329</v>
      </c>
      <c r="E9" s="8">
        <f>D9*0.1</f>
        <v>9.9333333333333336</v>
      </c>
      <c r="F9" s="7">
        <f>AprendizajeColaborativo!F4</f>
        <v>98.255250000000004</v>
      </c>
      <c r="G9" s="8">
        <f t="shared" ref="G9:G28" si="0">F9*0.1</f>
        <v>9.8255250000000007</v>
      </c>
      <c r="H9" s="7">
        <f>Quices!F4</f>
        <v>86.38</v>
      </c>
      <c r="I9" s="8">
        <f>H9*0.05</f>
        <v>4.319</v>
      </c>
      <c r="J9" s="7">
        <f>Tareas!N5</f>
        <v>83.875</v>
      </c>
      <c r="K9" s="8">
        <f>J9*0.05</f>
        <v>4.1937500000000005</v>
      </c>
      <c r="L9" s="7">
        <f>Proyecto!K4</f>
        <v>96.25</v>
      </c>
      <c r="M9" s="8">
        <f>L9*0.3</f>
        <v>28.875</v>
      </c>
      <c r="N9" s="7">
        <f>Examenes!B4</f>
        <v>88</v>
      </c>
      <c r="O9" s="7">
        <f>Examenes!C4</f>
        <v>84</v>
      </c>
      <c r="P9" s="7">
        <f>Examenes!D4</f>
        <v>87</v>
      </c>
      <c r="Q9" s="8">
        <f>N9*0.1+O9*0.1+P9*0.1</f>
        <v>25.900000000000006</v>
      </c>
      <c r="R9" s="9">
        <f>Retroalimentacion!O64</f>
        <v>0.10869565217391304</v>
      </c>
      <c r="S9" s="9">
        <f>C9+E9+G9+I9+K9+M9+Q9+R9</f>
        <v>92.15530398550726</v>
      </c>
      <c r="T9" s="10">
        <f>IF(((S9*0.1)-INT(S9*0.1))&gt;=0.25,IF(((S9*0.1)-INT(S9*0.1))&lt;=0.5,CEILING(S9,5),IF(((S9*0.1)-INT(S9*0.1))&gt;=0.75,CEILING(S9,5),FLOOR(S9,5))),FLOOR(S9,5))</f>
        <v>90</v>
      </c>
      <c r="U9" s="10" t="str">
        <f>IF(T9&gt;=67.5,"APROBADO",IF(T9&gt;=57.5,"AMPLIACION","REPROBADO"))</f>
        <v>APROBADO</v>
      </c>
    </row>
    <row r="10" spans="1:22" ht="13.15" x14ac:dyDescent="0.4">
      <c r="A10" s="5" t="s">
        <v>82</v>
      </c>
      <c r="B10" s="7">
        <f>Retroalimentacion!H5</f>
        <v>98.5</v>
      </c>
      <c r="C10" s="8">
        <f t="shared" ref="C10:C28" si="1">B10*0.1</f>
        <v>9.8500000000000014</v>
      </c>
      <c r="D10" s="7">
        <f>PortafolioEvidencias!E5</f>
        <v>100</v>
      </c>
      <c r="E10" s="8">
        <f t="shared" ref="E10:E28" si="2">D10*0.1</f>
        <v>10</v>
      </c>
      <c r="F10" s="7">
        <f>AprendizajeColaborativo!F5</f>
        <v>94.565250000000006</v>
      </c>
      <c r="G10" s="8">
        <f t="shared" si="0"/>
        <v>9.456525000000001</v>
      </c>
      <c r="H10" s="7">
        <f>Quices!F5</f>
        <v>85.096666666666678</v>
      </c>
      <c r="I10" s="8">
        <f t="shared" ref="I10:I28" si="3">H10*0.05</f>
        <v>4.2548333333333339</v>
      </c>
      <c r="J10" s="7">
        <f>Tareas!N6</f>
        <v>85.5</v>
      </c>
      <c r="K10" s="8">
        <f t="shared" ref="K10:K28" si="4">J10*0.05</f>
        <v>4.2750000000000004</v>
      </c>
      <c r="L10" s="7">
        <f>Proyecto!K5</f>
        <v>98.541666666666671</v>
      </c>
      <c r="M10" s="8">
        <f t="shared" ref="M10:M28" si="5">L10*0.3</f>
        <v>29.5625</v>
      </c>
      <c r="N10" s="7">
        <f>Examenes!B5</f>
        <v>79</v>
      </c>
      <c r="O10" s="7">
        <f>Examenes!C5</f>
        <v>100</v>
      </c>
      <c r="P10" s="7">
        <f>Examenes!D5</f>
        <v>100</v>
      </c>
      <c r="Q10" s="8">
        <f t="shared" ref="Q10:Q28" si="6">N10*0.1+O10*0.1+P10*0.1</f>
        <v>27.9</v>
      </c>
      <c r="R10" s="9">
        <f>Retroalimentacion!O65</f>
        <v>0.21739130434782608</v>
      </c>
      <c r="S10" s="9">
        <f t="shared" ref="S10:S35" si="7">C10+E10+G10+I10+K10+M10+Q10+R10</f>
        <v>95.516249637681156</v>
      </c>
      <c r="T10" s="10">
        <f t="shared" ref="T10:T28" si="8">IF(((S10*0.1)-INT(S10*0.1))&gt;=0.25,IF(((S10*0.1)-INT(S10*0.1))&lt;=0.5,CEILING(S10,5),IF(((S10*0.1)-INT(S10*0.1))&gt;=0.75,CEILING(S10,5),FLOOR(S10,5))),FLOOR(S10,5))</f>
        <v>95</v>
      </c>
      <c r="U10" s="10" t="str">
        <f t="shared" ref="U10:U28" si="9">IF(T10&gt;=67.5,"APROBADO",IF(T10&gt;=57.5,"AMPLIACION","REPROBADO"))</f>
        <v>APROBADO</v>
      </c>
    </row>
    <row r="11" spans="1:22" ht="13.15" x14ac:dyDescent="0.4">
      <c r="A11" s="5" t="s">
        <v>83</v>
      </c>
      <c r="B11" s="7">
        <f>Retroalimentacion!H6</f>
        <v>0</v>
      </c>
      <c r="C11" s="8">
        <f t="shared" si="1"/>
        <v>0</v>
      </c>
      <c r="D11" s="7">
        <f>PortafolioEvidencias!E6</f>
        <v>0</v>
      </c>
      <c r="E11" s="8">
        <f t="shared" si="2"/>
        <v>0</v>
      </c>
      <c r="F11" s="7">
        <f>AprendizajeColaborativo!F6</f>
        <v>24.262499999999999</v>
      </c>
      <c r="G11" s="8">
        <f t="shared" si="0"/>
        <v>2.42625</v>
      </c>
      <c r="H11" s="7">
        <f>Quices!F6</f>
        <v>0</v>
      </c>
      <c r="I11" s="8">
        <f t="shared" si="3"/>
        <v>0</v>
      </c>
      <c r="J11" s="7">
        <f>Tareas!N7</f>
        <v>12.5</v>
      </c>
      <c r="K11" s="8">
        <f t="shared" si="4"/>
        <v>0.625</v>
      </c>
      <c r="L11" s="7">
        <f>Proyecto!K6</f>
        <v>0</v>
      </c>
      <c r="M11" s="8">
        <f t="shared" si="5"/>
        <v>0</v>
      </c>
      <c r="N11" s="7">
        <f>Examenes!B6</f>
        <v>0</v>
      </c>
      <c r="O11" s="7">
        <f>Examenes!C6</f>
        <v>0</v>
      </c>
      <c r="P11" s="7">
        <f>Examenes!D6</f>
        <v>0</v>
      </c>
      <c r="Q11" s="8">
        <f t="shared" si="6"/>
        <v>0</v>
      </c>
      <c r="R11" s="9">
        <f>Retroalimentacion!O66</f>
        <v>0</v>
      </c>
      <c r="S11" s="9">
        <f t="shared" si="7"/>
        <v>3.05125</v>
      </c>
      <c r="T11" s="10">
        <f t="shared" si="8"/>
        <v>5</v>
      </c>
      <c r="U11" s="10" t="str">
        <f t="shared" si="9"/>
        <v>REPROBADO</v>
      </c>
    </row>
    <row r="12" spans="1:22" ht="13.15" x14ac:dyDescent="0.4">
      <c r="A12" s="5" t="s">
        <v>84</v>
      </c>
      <c r="B12" s="7">
        <f>Retroalimentacion!H7</f>
        <v>99</v>
      </c>
      <c r="C12" s="8">
        <f t="shared" si="1"/>
        <v>9.9</v>
      </c>
      <c r="D12" s="7">
        <f>PortafolioEvidencias!E7</f>
        <v>98.333333333333329</v>
      </c>
      <c r="E12" s="8">
        <f t="shared" si="2"/>
        <v>9.8333333333333339</v>
      </c>
      <c r="F12" s="7">
        <f>AprendizajeColaborativo!F7</f>
        <v>97.365874999999988</v>
      </c>
      <c r="G12" s="8">
        <f t="shared" si="0"/>
        <v>9.7365874999999988</v>
      </c>
      <c r="H12" s="7">
        <f>Quices!F7</f>
        <v>95.43</v>
      </c>
      <c r="I12" s="8">
        <f t="shared" si="3"/>
        <v>4.7715000000000005</v>
      </c>
      <c r="J12" s="7">
        <f>Tareas!N8</f>
        <v>95.354166666666657</v>
      </c>
      <c r="K12" s="8">
        <f t="shared" si="4"/>
        <v>4.7677083333333332</v>
      </c>
      <c r="L12" s="7">
        <f>Proyecto!K7</f>
        <v>98.541666666666671</v>
      </c>
      <c r="M12" s="8">
        <f t="shared" si="5"/>
        <v>29.5625</v>
      </c>
      <c r="N12" s="7">
        <f>Examenes!B7</f>
        <v>97</v>
      </c>
      <c r="O12" s="7">
        <f>Examenes!C7</f>
        <v>86</v>
      </c>
      <c r="P12" s="7">
        <f>Examenes!D7</f>
        <v>100</v>
      </c>
      <c r="Q12" s="8">
        <f t="shared" si="6"/>
        <v>28.3</v>
      </c>
      <c r="R12" s="9">
        <f>Retroalimentacion!O67</f>
        <v>0</v>
      </c>
      <c r="S12" s="9">
        <f t="shared" si="7"/>
        <v>96.871629166666665</v>
      </c>
      <c r="T12" s="10">
        <f t="shared" si="8"/>
        <v>95</v>
      </c>
      <c r="U12" s="10" t="str">
        <f t="shared" si="9"/>
        <v>APROBADO</v>
      </c>
    </row>
    <row r="13" spans="1:22" ht="13.15" x14ac:dyDescent="0.4">
      <c r="A13" s="5" t="s">
        <v>138</v>
      </c>
      <c r="B13" s="7">
        <f>Retroalimentacion!H8</f>
        <v>97.25</v>
      </c>
      <c r="C13" s="8">
        <f t="shared" si="1"/>
        <v>9.7250000000000014</v>
      </c>
      <c r="D13" s="7">
        <f>PortafolioEvidencias!E8</f>
        <v>77.333333333333329</v>
      </c>
      <c r="E13" s="8">
        <f t="shared" si="2"/>
        <v>7.7333333333333334</v>
      </c>
      <c r="F13" s="7">
        <f>AprendizajeColaborativo!F8</f>
        <v>22.0138125</v>
      </c>
      <c r="G13" s="8">
        <f t="shared" si="0"/>
        <v>2.2013812500000003</v>
      </c>
      <c r="H13" s="7">
        <f>Quices!F8</f>
        <v>61.620000000000005</v>
      </c>
      <c r="I13" s="8">
        <f t="shared" si="3"/>
        <v>3.0810000000000004</v>
      </c>
      <c r="J13" s="7">
        <f>Tareas!N9</f>
        <v>9.25</v>
      </c>
      <c r="K13" s="8">
        <f t="shared" si="4"/>
        <v>0.46250000000000002</v>
      </c>
      <c r="L13" s="7">
        <f>Proyecto!K8</f>
        <v>16.25</v>
      </c>
      <c r="M13" s="8">
        <f t="shared" si="5"/>
        <v>4.875</v>
      </c>
      <c r="N13" s="7">
        <f>Examenes!B8</f>
        <v>82</v>
      </c>
      <c r="O13" s="7">
        <f>Examenes!C8</f>
        <v>86</v>
      </c>
      <c r="P13" s="7">
        <f>Examenes!D8</f>
        <v>0</v>
      </c>
      <c r="Q13" s="8">
        <f t="shared" si="6"/>
        <v>16.8</v>
      </c>
      <c r="R13" s="9">
        <f>Retroalimentacion!O68</f>
        <v>0.43478260869565216</v>
      </c>
      <c r="S13" s="9">
        <f t="shared" si="7"/>
        <v>45.31299719202898</v>
      </c>
      <c r="T13" s="10">
        <f t="shared" si="8"/>
        <v>45</v>
      </c>
      <c r="U13" s="10" t="str">
        <f t="shared" si="9"/>
        <v>REPROBADO</v>
      </c>
      <c r="V13" t="s">
        <v>145</v>
      </c>
    </row>
    <row r="14" spans="1:22" ht="13.15" x14ac:dyDescent="0.4">
      <c r="A14" s="5" t="s">
        <v>85</v>
      </c>
      <c r="B14" s="7">
        <f>Retroalimentacion!H9</f>
        <v>85</v>
      </c>
      <c r="C14" s="8">
        <f t="shared" si="1"/>
        <v>8.5</v>
      </c>
      <c r="D14" s="7">
        <f>PortafolioEvidencias!E9</f>
        <v>99.333333333333329</v>
      </c>
      <c r="E14" s="8">
        <f t="shared" si="2"/>
        <v>9.9333333333333336</v>
      </c>
      <c r="F14" s="7">
        <f>AprendizajeColaborativo!F9</f>
        <v>98.255250000000004</v>
      </c>
      <c r="G14" s="8">
        <f t="shared" si="0"/>
        <v>9.8255250000000007</v>
      </c>
      <c r="H14" s="7">
        <f>Quices!F9</f>
        <v>87.713333333333324</v>
      </c>
      <c r="I14" s="8">
        <f t="shared" si="3"/>
        <v>4.3856666666666664</v>
      </c>
      <c r="J14" s="7">
        <f>Tareas!N10</f>
        <v>83.875</v>
      </c>
      <c r="K14" s="8">
        <f t="shared" si="4"/>
        <v>4.1937500000000005</v>
      </c>
      <c r="L14" s="7">
        <f>Proyecto!K9</f>
        <v>96.25</v>
      </c>
      <c r="M14" s="8">
        <f t="shared" si="5"/>
        <v>28.875</v>
      </c>
      <c r="N14" s="7">
        <f>Examenes!B9</f>
        <v>87</v>
      </c>
      <c r="O14" s="7">
        <f>Examenes!C9</f>
        <v>84</v>
      </c>
      <c r="P14" s="7">
        <f>Examenes!D9</f>
        <v>87</v>
      </c>
      <c r="Q14" s="8">
        <f t="shared" si="6"/>
        <v>25.800000000000004</v>
      </c>
      <c r="R14" s="9">
        <f>Retroalimentacion!O69</f>
        <v>0.54347826086956519</v>
      </c>
      <c r="S14" s="9">
        <f t="shared" si="7"/>
        <v>92.056753260869584</v>
      </c>
      <c r="T14" s="10">
        <f t="shared" si="8"/>
        <v>90</v>
      </c>
      <c r="U14" s="10" t="str">
        <f t="shared" si="9"/>
        <v>APROBADO</v>
      </c>
    </row>
    <row r="15" spans="1:22" ht="13.15" x14ac:dyDescent="0.4">
      <c r="A15" s="5" t="s">
        <v>86</v>
      </c>
      <c r="B15" s="7">
        <f>Retroalimentacion!H10</f>
        <v>100</v>
      </c>
      <c r="C15" s="8">
        <f t="shared" si="1"/>
        <v>10</v>
      </c>
      <c r="D15" s="7">
        <f>PortafolioEvidencias!E10</f>
        <v>99</v>
      </c>
      <c r="E15" s="8">
        <f t="shared" si="2"/>
        <v>9.9</v>
      </c>
      <c r="F15" s="7">
        <f>AprendizajeColaborativo!F10</f>
        <v>97.713250000000002</v>
      </c>
      <c r="G15" s="8">
        <f t="shared" si="0"/>
        <v>9.7713250000000009</v>
      </c>
      <c r="H15" s="7">
        <f>Quices!F10</f>
        <v>93.19</v>
      </c>
      <c r="I15" s="8">
        <f t="shared" si="3"/>
        <v>4.6595000000000004</v>
      </c>
      <c r="J15" s="7">
        <f>Tareas!N11</f>
        <v>96.875</v>
      </c>
      <c r="K15" s="8">
        <f t="shared" si="4"/>
        <v>4.84375</v>
      </c>
      <c r="L15" s="7">
        <f>Proyecto!K10</f>
        <v>96.458333333333329</v>
      </c>
      <c r="M15" s="8">
        <f t="shared" si="5"/>
        <v>28.937499999999996</v>
      </c>
      <c r="N15" s="7">
        <f>Examenes!B10</f>
        <v>93</v>
      </c>
      <c r="O15" s="7">
        <f>Examenes!C10</f>
        <v>100</v>
      </c>
      <c r="P15" s="7">
        <f>Examenes!D10</f>
        <v>95</v>
      </c>
      <c r="Q15" s="8">
        <f t="shared" si="6"/>
        <v>28.8</v>
      </c>
      <c r="R15" s="9">
        <f>Retroalimentacion!O70</f>
        <v>0.76086956521739135</v>
      </c>
      <c r="S15" s="9">
        <f t="shared" si="7"/>
        <v>97.672944565217378</v>
      </c>
      <c r="T15" s="10">
        <f t="shared" si="8"/>
        <v>100</v>
      </c>
      <c r="U15" s="10" t="str">
        <f t="shared" si="9"/>
        <v>APROBADO</v>
      </c>
    </row>
    <row r="16" spans="1:22" ht="13.15" x14ac:dyDescent="0.4">
      <c r="A16" s="5" t="s">
        <v>87</v>
      </c>
      <c r="B16" s="7">
        <f>Retroalimentacion!H11</f>
        <v>99</v>
      </c>
      <c r="C16" s="8">
        <f t="shared" si="1"/>
        <v>9.9</v>
      </c>
      <c r="D16" s="7">
        <f>PortafolioEvidencias!E11</f>
        <v>100</v>
      </c>
      <c r="E16" s="8">
        <f t="shared" si="2"/>
        <v>10</v>
      </c>
      <c r="F16" s="7">
        <f>AprendizajeColaborativo!F11</f>
        <v>96.093291666666673</v>
      </c>
      <c r="G16" s="8">
        <f t="shared" si="0"/>
        <v>9.6093291666666687</v>
      </c>
      <c r="H16" s="7">
        <f>Quices!F11</f>
        <v>92.333333333333329</v>
      </c>
      <c r="I16" s="8">
        <f t="shared" si="3"/>
        <v>4.6166666666666663</v>
      </c>
      <c r="J16" s="7">
        <f>Tareas!N12</f>
        <v>80.75</v>
      </c>
      <c r="K16" s="8">
        <f t="shared" si="4"/>
        <v>4.0375000000000005</v>
      </c>
      <c r="L16" s="7">
        <f>Proyecto!K11</f>
        <v>94.375</v>
      </c>
      <c r="M16" s="8">
        <f t="shared" si="5"/>
        <v>28.3125</v>
      </c>
      <c r="N16" s="7">
        <f>Examenes!B11</f>
        <v>91</v>
      </c>
      <c r="O16" s="7">
        <f>Examenes!C11</f>
        <v>94</v>
      </c>
      <c r="P16" s="7">
        <f>Examenes!D11</f>
        <v>100</v>
      </c>
      <c r="Q16" s="8">
        <f t="shared" si="6"/>
        <v>28.5</v>
      </c>
      <c r="R16" s="9">
        <f>Retroalimentacion!O71</f>
        <v>0.32608695652173914</v>
      </c>
      <c r="S16" s="9">
        <f t="shared" si="7"/>
        <v>95.302082789855078</v>
      </c>
      <c r="T16" s="10">
        <f t="shared" si="8"/>
        <v>95</v>
      </c>
      <c r="U16" s="10" t="str">
        <f t="shared" si="9"/>
        <v>APROBADO</v>
      </c>
    </row>
    <row r="17" spans="1:21" ht="13.15" x14ac:dyDescent="0.4">
      <c r="A17" s="5" t="s">
        <v>88</v>
      </c>
      <c r="B17" s="7">
        <f>Retroalimentacion!H12</f>
        <v>100</v>
      </c>
      <c r="C17" s="8">
        <f t="shared" si="1"/>
        <v>10</v>
      </c>
      <c r="D17" s="7">
        <f>PortafolioEvidencias!E12</f>
        <v>99</v>
      </c>
      <c r="E17" s="8">
        <f t="shared" si="2"/>
        <v>9.9</v>
      </c>
      <c r="F17" s="7">
        <f>AprendizajeColaborativo!F12</f>
        <v>97.400750000000002</v>
      </c>
      <c r="G17" s="8">
        <f t="shared" si="0"/>
        <v>9.7400750000000009</v>
      </c>
      <c r="H17" s="7">
        <f>Quices!F12</f>
        <v>93.19</v>
      </c>
      <c r="I17" s="8">
        <f t="shared" si="3"/>
        <v>4.6595000000000004</v>
      </c>
      <c r="J17" s="7">
        <f>Tareas!N13</f>
        <v>96.875</v>
      </c>
      <c r="K17" s="8">
        <f t="shared" si="4"/>
        <v>4.84375</v>
      </c>
      <c r="L17" s="7">
        <f>Proyecto!K12</f>
        <v>96.458333333333329</v>
      </c>
      <c r="M17" s="8">
        <f t="shared" si="5"/>
        <v>28.937499999999996</v>
      </c>
      <c r="N17" s="7">
        <f>Examenes!B12</f>
        <v>87</v>
      </c>
      <c r="O17" s="7">
        <f>Examenes!C12</f>
        <v>100</v>
      </c>
      <c r="P17" s="7">
        <f>Examenes!D12</f>
        <v>95</v>
      </c>
      <c r="Q17" s="8">
        <f t="shared" si="6"/>
        <v>28.200000000000003</v>
      </c>
      <c r="R17" s="9">
        <f>Retroalimentacion!O72</f>
        <v>0</v>
      </c>
      <c r="S17" s="9">
        <f t="shared" si="7"/>
        <v>96.280824999999993</v>
      </c>
      <c r="T17" s="10">
        <f t="shared" si="8"/>
        <v>95</v>
      </c>
      <c r="U17" s="10" t="str">
        <f t="shared" si="9"/>
        <v>APROBADO</v>
      </c>
    </row>
    <row r="18" spans="1:21" ht="13.15" x14ac:dyDescent="0.4">
      <c r="A18" s="5" t="s">
        <v>139</v>
      </c>
      <c r="B18" s="7">
        <f>Retroalimentacion!H13</f>
        <v>98.5</v>
      </c>
      <c r="C18" s="8">
        <f t="shared" si="1"/>
        <v>9.8500000000000014</v>
      </c>
      <c r="D18" s="7">
        <f>PortafolioEvidencias!E13</f>
        <v>98.666666666666671</v>
      </c>
      <c r="E18" s="8">
        <f t="shared" si="2"/>
        <v>9.8666666666666671</v>
      </c>
      <c r="F18" s="7">
        <f>AprendizajeColaborativo!F13</f>
        <v>98.224999999999994</v>
      </c>
      <c r="G18" s="8">
        <f t="shared" si="0"/>
        <v>9.8224999999999998</v>
      </c>
      <c r="H18" s="7">
        <f>Quices!F13</f>
        <v>92.046666666666667</v>
      </c>
      <c r="I18" s="8">
        <f t="shared" si="3"/>
        <v>4.6023333333333332</v>
      </c>
      <c r="J18" s="7">
        <f>Tareas!N14</f>
        <v>77.125</v>
      </c>
      <c r="K18" s="8">
        <f t="shared" si="4"/>
        <v>3.8562500000000002</v>
      </c>
      <c r="L18" s="7">
        <f>Proyecto!K13</f>
        <v>87.916666666666671</v>
      </c>
      <c r="M18" s="8">
        <f t="shared" si="5"/>
        <v>26.375</v>
      </c>
      <c r="N18" s="7">
        <f>Examenes!B13</f>
        <v>77</v>
      </c>
      <c r="O18" s="7">
        <f>Examenes!C13</f>
        <v>79</v>
      </c>
      <c r="P18" s="7">
        <f>Examenes!D13</f>
        <v>90</v>
      </c>
      <c r="Q18" s="8">
        <f t="shared" si="6"/>
        <v>24.6</v>
      </c>
      <c r="R18" s="9">
        <f>Retroalimentacion!O73</f>
        <v>0</v>
      </c>
      <c r="S18" s="9">
        <f t="shared" si="7"/>
        <v>88.972749999999991</v>
      </c>
      <c r="T18" s="10">
        <f t="shared" si="8"/>
        <v>90</v>
      </c>
      <c r="U18" s="10" t="str">
        <f t="shared" si="9"/>
        <v>APROBADO</v>
      </c>
    </row>
    <row r="19" spans="1:21" ht="13.15" x14ac:dyDescent="0.4">
      <c r="A19" s="5" t="s">
        <v>89</v>
      </c>
      <c r="B19" s="7">
        <f>Retroalimentacion!H14</f>
        <v>98.5</v>
      </c>
      <c r="C19" s="8">
        <f t="shared" si="1"/>
        <v>9.8500000000000014</v>
      </c>
      <c r="D19" s="7">
        <f>PortafolioEvidencias!E14</f>
        <v>100</v>
      </c>
      <c r="E19" s="8">
        <f t="shared" si="2"/>
        <v>10</v>
      </c>
      <c r="F19" s="7">
        <f>AprendizajeColaborativo!F14</f>
        <v>94.565250000000006</v>
      </c>
      <c r="G19" s="8">
        <f t="shared" si="0"/>
        <v>9.456525000000001</v>
      </c>
      <c r="H19" s="7">
        <f>Quices!F14</f>
        <v>85.096666666666678</v>
      </c>
      <c r="I19" s="8">
        <f t="shared" si="3"/>
        <v>4.2548333333333339</v>
      </c>
      <c r="J19" s="7">
        <f>Tareas!N15</f>
        <v>85.5</v>
      </c>
      <c r="K19" s="8">
        <f t="shared" si="4"/>
        <v>4.2750000000000004</v>
      </c>
      <c r="L19" s="7">
        <f>Proyecto!K14</f>
        <v>98.541666666666671</v>
      </c>
      <c r="M19" s="8">
        <f t="shared" si="5"/>
        <v>29.5625</v>
      </c>
      <c r="N19" s="7">
        <f>Examenes!B14</f>
        <v>78</v>
      </c>
      <c r="O19" s="7">
        <f>Examenes!C14</f>
        <v>100</v>
      </c>
      <c r="P19" s="7">
        <f>Examenes!D14</f>
        <v>100</v>
      </c>
      <c r="Q19" s="8">
        <f t="shared" si="6"/>
        <v>27.8</v>
      </c>
      <c r="R19" s="9">
        <f>Retroalimentacion!O74</f>
        <v>0.10869565217391304</v>
      </c>
      <c r="S19" s="9">
        <f t="shared" si="7"/>
        <v>95.307553985507226</v>
      </c>
      <c r="T19" s="10">
        <f t="shared" si="8"/>
        <v>95</v>
      </c>
      <c r="U19" s="10" t="str">
        <f t="shared" si="9"/>
        <v>APROBADO</v>
      </c>
    </row>
    <row r="20" spans="1:21" ht="13.15" x14ac:dyDescent="0.4">
      <c r="A20" s="5" t="s">
        <v>90</v>
      </c>
      <c r="B20" s="7">
        <f>Retroalimentacion!H15</f>
        <v>85</v>
      </c>
      <c r="C20" s="8">
        <f t="shared" si="1"/>
        <v>8.5</v>
      </c>
      <c r="D20" s="7">
        <f>PortafolioEvidencias!E15</f>
        <v>98.333333333333329</v>
      </c>
      <c r="E20" s="8">
        <f t="shared" si="2"/>
        <v>9.8333333333333339</v>
      </c>
      <c r="F20" s="7">
        <f>AprendizajeColaborativo!F15</f>
        <v>98.224999999999994</v>
      </c>
      <c r="G20" s="8">
        <f t="shared" si="0"/>
        <v>9.8224999999999998</v>
      </c>
      <c r="H20" s="7">
        <f>Quices!F15</f>
        <v>92.046666666666667</v>
      </c>
      <c r="I20" s="8">
        <f t="shared" si="3"/>
        <v>4.6023333333333332</v>
      </c>
      <c r="J20" s="7">
        <f>Tareas!N16</f>
        <v>77.125</v>
      </c>
      <c r="K20" s="8">
        <f t="shared" si="4"/>
        <v>3.8562500000000002</v>
      </c>
      <c r="L20" s="7">
        <f>Proyecto!K15</f>
        <v>87.916666666666671</v>
      </c>
      <c r="M20" s="8">
        <f t="shared" si="5"/>
        <v>26.375</v>
      </c>
      <c r="N20" s="7">
        <f>Examenes!B15</f>
        <v>77</v>
      </c>
      <c r="O20" s="7">
        <f>Examenes!C15</f>
        <v>79</v>
      </c>
      <c r="P20" s="7">
        <f>Examenes!D15</f>
        <v>90</v>
      </c>
      <c r="Q20" s="8">
        <f t="shared" si="6"/>
        <v>24.6</v>
      </c>
      <c r="R20" s="9">
        <f>Retroalimentacion!O75</f>
        <v>0.54347826086956519</v>
      </c>
      <c r="S20" s="9">
        <f t="shared" si="7"/>
        <v>88.132894927536228</v>
      </c>
      <c r="T20" s="10">
        <f t="shared" si="8"/>
        <v>90</v>
      </c>
      <c r="U20" s="10" t="str">
        <f t="shared" si="9"/>
        <v>APROBADO</v>
      </c>
    </row>
    <row r="21" spans="1:21" ht="13.15" x14ac:dyDescent="0.4">
      <c r="A21" s="5" t="s">
        <v>91</v>
      </c>
      <c r="B21" s="7">
        <f>Retroalimentacion!H16</f>
        <v>100</v>
      </c>
      <c r="C21" s="8">
        <f t="shared" si="1"/>
        <v>10</v>
      </c>
      <c r="D21" s="7">
        <f>PortafolioEvidencias!E16</f>
        <v>100</v>
      </c>
      <c r="E21" s="8">
        <f t="shared" si="2"/>
        <v>10</v>
      </c>
      <c r="F21" s="7">
        <f>AprendizajeColaborativo!F16</f>
        <v>94.565250000000006</v>
      </c>
      <c r="G21" s="8">
        <f t="shared" si="0"/>
        <v>9.456525000000001</v>
      </c>
      <c r="H21" s="7">
        <f>Quices!F16</f>
        <v>85.096666666666678</v>
      </c>
      <c r="I21" s="8">
        <f t="shared" si="3"/>
        <v>4.2548333333333339</v>
      </c>
      <c r="J21" s="7">
        <f>Tareas!N17</f>
        <v>85.5</v>
      </c>
      <c r="K21" s="8">
        <f t="shared" si="4"/>
        <v>4.2750000000000004</v>
      </c>
      <c r="L21" s="7">
        <f>Proyecto!K16</f>
        <v>98.541666666666671</v>
      </c>
      <c r="M21" s="8">
        <f t="shared" si="5"/>
        <v>29.5625</v>
      </c>
      <c r="N21" s="7">
        <f>Examenes!B16</f>
        <v>78</v>
      </c>
      <c r="O21" s="7">
        <f>Examenes!C16</f>
        <v>77</v>
      </c>
      <c r="P21" s="7">
        <f>Examenes!D16</f>
        <v>100</v>
      </c>
      <c r="Q21" s="8">
        <f t="shared" si="6"/>
        <v>25.5</v>
      </c>
      <c r="R21" s="9">
        <f>Retroalimentacion!O76</f>
        <v>0.32608695652173914</v>
      </c>
      <c r="S21" s="9">
        <f t="shared" si="7"/>
        <v>93.374945289855063</v>
      </c>
      <c r="T21" s="10">
        <f t="shared" si="8"/>
        <v>95</v>
      </c>
      <c r="U21" s="10" t="str">
        <f t="shared" si="9"/>
        <v>APROBADO</v>
      </c>
    </row>
    <row r="22" spans="1:21" ht="13.15" x14ac:dyDescent="0.4">
      <c r="A22" s="5" t="s">
        <v>92</v>
      </c>
      <c r="B22" s="7">
        <f>Retroalimentacion!H17</f>
        <v>96.5</v>
      </c>
      <c r="C22" s="8">
        <f t="shared" si="1"/>
        <v>9.65</v>
      </c>
      <c r="D22" s="7">
        <f>PortafolioEvidencias!E17</f>
        <v>100</v>
      </c>
      <c r="E22" s="8">
        <f t="shared" si="2"/>
        <v>10</v>
      </c>
      <c r="F22" s="7">
        <f>AprendizajeColaborativo!F17</f>
        <v>96.301625000000016</v>
      </c>
      <c r="G22" s="8">
        <f t="shared" si="0"/>
        <v>9.6301625000000026</v>
      </c>
      <c r="H22" s="7">
        <f>Quices!F17</f>
        <v>92.333333333333329</v>
      </c>
      <c r="I22" s="8">
        <f t="shared" si="3"/>
        <v>4.6166666666666663</v>
      </c>
      <c r="J22" s="7">
        <f>Tareas!N18</f>
        <v>80.75</v>
      </c>
      <c r="K22" s="8">
        <f t="shared" si="4"/>
        <v>4.0375000000000005</v>
      </c>
      <c r="L22" s="7">
        <f>Proyecto!K17</f>
        <v>94.375</v>
      </c>
      <c r="M22" s="8">
        <f t="shared" si="5"/>
        <v>28.3125</v>
      </c>
      <c r="N22" s="7">
        <f>Examenes!B17</f>
        <v>87</v>
      </c>
      <c r="O22" s="7">
        <f>Examenes!C17</f>
        <v>100</v>
      </c>
      <c r="P22" s="7">
        <f>Examenes!D17</f>
        <v>100</v>
      </c>
      <c r="Q22" s="8">
        <f t="shared" si="6"/>
        <v>28.700000000000003</v>
      </c>
      <c r="R22" s="9">
        <f>Retroalimentacion!O77</f>
        <v>0.86956521739130432</v>
      </c>
      <c r="S22" s="9">
        <f t="shared" si="7"/>
        <v>95.816394384057972</v>
      </c>
      <c r="T22" s="10">
        <f t="shared" si="8"/>
        <v>95</v>
      </c>
      <c r="U22" s="10" t="str">
        <f t="shared" si="9"/>
        <v>APROBADO</v>
      </c>
    </row>
    <row r="23" spans="1:21" ht="13.15" x14ac:dyDescent="0.4">
      <c r="A23" s="5" t="s">
        <v>93</v>
      </c>
      <c r="B23" s="7">
        <f>Retroalimentacion!H18</f>
        <v>100</v>
      </c>
      <c r="C23" s="8">
        <f t="shared" si="1"/>
        <v>10</v>
      </c>
      <c r="D23" s="7">
        <f>PortafolioEvidencias!E18</f>
        <v>99</v>
      </c>
      <c r="E23" s="8">
        <f t="shared" si="2"/>
        <v>9.9</v>
      </c>
      <c r="F23" s="7">
        <f>AprendizajeColaborativo!F18</f>
        <v>97.713250000000002</v>
      </c>
      <c r="G23" s="8">
        <f t="shared" si="0"/>
        <v>9.7713250000000009</v>
      </c>
      <c r="H23" s="7">
        <f>Quices!F18</f>
        <v>93.19</v>
      </c>
      <c r="I23" s="8">
        <f t="shared" si="3"/>
        <v>4.6595000000000004</v>
      </c>
      <c r="J23" s="7">
        <f>Tareas!N19</f>
        <v>96.770833333333343</v>
      </c>
      <c r="K23" s="8">
        <f t="shared" si="4"/>
        <v>4.8385416666666679</v>
      </c>
      <c r="L23" s="7">
        <f>Proyecto!K18</f>
        <v>96.458333333333329</v>
      </c>
      <c r="M23" s="8">
        <f t="shared" si="5"/>
        <v>28.937499999999996</v>
      </c>
      <c r="N23" s="7">
        <f>Examenes!B18</f>
        <v>100</v>
      </c>
      <c r="O23" s="7">
        <f>Examenes!C18</f>
        <v>100</v>
      </c>
      <c r="P23" s="7">
        <f>Examenes!D18</f>
        <v>95</v>
      </c>
      <c r="Q23" s="8">
        <f t="shared" si="6"/>
        <v>29.5</v>
      </c>
      <c r="R23" s="9">
        <f>Retroalimentacion!O78</f>
        <v>1.3043478260869565</v>
      </c>
      <c r="S23" s="9">
        <f t="shared" si="7"/>
        <v>98.911214492753615</v>
      </c>
      <c r="T23" s="10">
        <f t="shared" si="8"/>
        <v>100</v>
      </c>
      <c r="U23" s="10" t="str">
        <f t="shared" si="9"/>
        <v>APROBADO</v>
      </c>
    </row>
    <row r="24" spans="1:21" ht="13.15" x14ac:dyDescent="0.4">
      <c r="A24" s="5" t="s">
        <v>94</v>
      </c>
      <c r="B24" s="7">
        <f>Retroalimentacion!H19</f>
        <v>90</v>
      </c>
      <c r="C24" s="8">
        <f t="shared" si="1"/>
        <v>9</v>
      </c>
      <c r="D24" s="7">
        <f>PortafolioEvidencias!E19</f>
        <v>98.333333333333329</v>
      </c>
      <c r="E24" s="8">
        <f t="shared" si="2"/>
        <v>9.8333333333333339</v>
      </c>
      <c r="F24" s="7">
        <f>AprendizajeColaborativo!F19</f>
        <v>96.740875000000003</v>
      </c>
      <c r="G24" s="8">
        <f t="shared" si="0"/>
        <v>9.6740875000000006</v>
      </c>
      <c r="H24" s="7">
        <f>Quices!F19</f>
        <v>95.43</v>
      </c>
      <c r="I24" s="8">
        <f t="shared" si="3"/>
        <v>4.7715000000000005</v>
      </c>
      <c r="J24" s="7">
        <f>Tareas!N20</f>
        <v>95.25</v>
      </c>
      <c r="K24" s="8">
        <f t="shared" si="4"/>
        <v>4.7625000000000002</v>
      </c>
      <c r="L24" s="7">
        <f>Proyecto!K19</f>
        <v>97.847222222222214</v>
      </c>
      <c r="M24" s="8">
        <f t="shared" si="5"/>
        <v>29.354166666666664</v>
      </c>
      <c r="N24" s="7">
        <f>Examenes!B19</f>
        <v>100</v>
      </c>
      <c r="O24" s="7">
        <f>Examenes!C19</f>
        <v>86</v>
      </c>
      <c r="P24" s="7">
        <f>Examenes!D19</f>
        <v>100</v>
      </c>
      <c r="Q24" s="8">
        <f t="shared" si="6"/>
        <v>28.6</v>
      </c>
      <c r="R24" s="9">
        <f>Retroalimentacion!O79</f>
        <v>0.43478260869565216</v>
      </c>
      <c r="S24" s="9">
        <f t="shared" si="7"/>
        <v>96.430370108695655</v>
      </c>
      <c r="T24" s="10">
        <f t="shared" si="8"/>
        <v>95</v>
      </c>
      <c r="U24" s="10" t="str">
        <f t="shared" si="9"/>
        <v>APROBADO</v>
      </c>
    </row>
    <row r="25" spans="1:21" ht="13.15" x14ac:dyDescent="0.4">
      <c r="A25" s="5" t="s">
        <v>140</v>
      </c>
      <c r="B25" s="7">
        <f>Retroalimentacion!H20</f>
        <v>96.5</v>
      </c>
      <c r="C25" s="8">
        <f t="shared" si="1"/>
        <v>9.65</v>
      </c>
      <c r="D25" s="7">
        <f>PortafolioEvidencias!E20</f>
        <v>100</v>
      </c>
      <c r="E25" s="8">
        <f t="shared" si="2"/>
        <v>10</v>
      </c>
      <c r="F25" s="7">
        <f>AprendizajeColaborativo!F20</f>
        <v>96.19745833333333</v>
      </c>
      <c r="G25" s="8">
        <f t="shared" si="0"/>
        <v>9.619745833333333</v>
      </c>
      <c r="H25" s="7">
        <f>Quices!F20</f>
        <v>92.333333333333329</v>
      </c>
      <c r="I25" s="8">
        <f t="shared" si="3"/>
        <v>4.6166666666666663</v>
      </c>
      <c r="J25" s="7">
        <f>Tareas!N21</f>
        <v>80.75</v>
      </c>
      <c r="K25" s="8">
        <f t="shared" si="4"/>
        <v>4.0375000000000005</v>
      </c>
      <c r="L25" s="7">
        <f>Proyecto!K20</f>
        <v>94.375</v>
      </c>
      <c r="M25" s="8">
        <f t="shared" si="5"/>
        <v>28.3125</v>
      </c>
      <c r="N25" s="7">
        <f>Examenes!B20</f>
        <v>87</v>
      </c>
      <c r="O25" s="7">
        <f>Examenes!C20</f>
        <v>100</v>
      </c>
      <c r="P25" s="7">
        <f>Examenes!D20</f>
        <v>100</v>
      </c>
      <c r="Q25" s="8">
        <f t="shared" si="6"/>
        <v>28.700000000000003</v>
      </c>
      <c r="R25" s="9">
        <f>Retroalimentacion!O80</f>
        <v>0.76086956521739135</v>
      </c>
      <c r="S25" s="9">
        <f t="shared" si="7"/>
        <v>95.697282065217394</v>
      </c>
      <c r="T25" s="10">
        <f t="shared" si="8"/>
        <v>95</v>
      </c>
      <c r="U25" s="10" t="str">
        <f t="shared" si="9"/>
        <v>APROBADO</v>
      </c>
    </row>
    <row r="26" spans="1:21" ht="13.15" x14ac:dyDescent="0.4">
      <c r="A26" s="5" t="s">
        <v>95</v>
      </c>
      <c r="B26" s="7">
        <f>Retroalimentacion!H21</f>
        <v>90</v>
      </c>
      <c r="C26" s="8">
        <f t="shared" si="1"/>
        <v>9</v>
      </c>
      <c r="D26" s="7">
        <f>PortafolioEvidencias!E21</f>
        <v>98.333333333333329</v>
      </c>
      <c r="E26" s="8">
        <f t="shared" si="2"/>
        <v>9.8333333333333339</v>
      </c>
      <c r="F26" s="7">
        <f>AprendizajeColaborativo!F21</f>
        <v>97.574208333333331</v>
      </c>
      <c r="G26" s="8">
        <f t="shared" si="0"/>
        <v>9.7574208333333345</v>
      </c>
      <c r="H26" s="7">
        <f>Quices!F21</f>
        <v>95.43</v>
      </c>
      <c r="I26" s="8">
        <f t="shared" si="3"/>
        <v>4.7715000000000005</v>
      </c>
      <c r="J26" s="7">
        <f>Tareas!N22</f>
        <v>95.5625</v>
      </c>
      <c r="K26" s="8">
        <f t="shared" si="4"/>
        <v>4.7781250000000002</v>
      </c>
      <c r="L26" s="7">
        <f>Proyecto!K21</f>
        <v>98.541666666666671</v>
      </c>
      <c r="M26" s="8">
        <f t="shared" si="5"/>
        <v>29.5625</v>
      </c>
      <c r="N26" s="7">
        <f>Examenes!B21</f>
        <v>100</v>
      </c>
      <c r="O26" s="7">
        <f>Examenes!C21</f>
        <v>86</v>
      </c>
      <c r="P26" s="7">
        <f>Examenes!D21</f>
        <v>100</v>
      </c>
      <c r="Q26" s="8">
        <f t="shared" si="6"/>
        <v>28.6</v>
      </c>
      <c r="R26" s="9">
        <f>Retroalimentacion!O81</f>
        <v>5</v>
      </c>
      <c r="S26" s="9">
        <f t="shared" si="7"/>
        <v>101.30287916666668</v>
      </c>
      <c r="T26" s="10">
        <f t="shared" si="8"/>
        <v>100</v>
      </c>
      <c r="U26" s="10" t="str">
        <f t="shared" si="9"/>
        <v>APROBADO</v>
      </c>
    </row>
    <row r="27" spans="1:21" ht="13.15" x14ac:dyDescent="0.4">
      <c r="A27" s="5" t="s">
        <v>96</v>
      </c>
      <c r="B27" s="7">
        <f>Retroalimentacion!H22</f>
        <v>99</v>
      </c>
      <c r="C27" s="8">
        <f t="shared" si="1"/>
        <v>9.9</v>
      </c>
      <c r="D27" s="7">
        <f>PortafolioEvidencias!E22</f>
        <v>98.333333333333329</v>
      </c>
      <c r="E27" s="8">
        <f t="shared" si="2"/>
        <v>9.8333333333333339</v>
      </c>
      <c r="F27" s="7">
        <f>AprendizajeColaborativo!F22</f>
        <v>97.574208333333331</v>
      </c>
      <c r="G27" s="8">
        <f t="shared" si="0"/>
        <v>9.7574208333333345</v>
      </c>
      <c r="H27" s="7">
        <f>Quices!F22</f>
        <v>95.43</v>
      </c>
      <c r="I27" s="8">
        <f t="shared" si="3"/>
        <v>4.7715000000000005</v>
      </c>
      <c r="J27" s="7">
        <f>Tareas!N23</f>
        <v>95.5625</v>
      </c>
      <c r="K27" s="8">
        <f t="shared" si="4"/>
        <v>4.7781250000000002</v>
      </c>
      <c r="L27" s="7">
        <f>Proyecto!K22</f>
        <v>98.541666666666671</v>
      </c>
      <c r="M27" s="8">
        <f t="shared" si="5"/>
        <v>29.5625</v>
      </c>
      <c r="N27" s="7">
        <f>Examenes!B22</f>
        <v>97</v>
      </c>
      <c r="O27" s="7">
        <f>Examenes!C22</f>
        <v>86</v>
      </c>
      <c r="P27" s="7">
        <f>Examenes!D22</f>
        <v>100</v>
      </c>
      <c r="Q27" s="8">
        <f t="shared" si="6"/>
        <v>28.3</v>
      </c>
      <c r="R27" s="9">
        <f>Retroalimentacion!O82</f>
        <v>0</v>
      </c>
      <c r="S27" s="9">
        <f t="shared" si="7"/>
        <v>96.902879166666665</v>
      </c>
      <c r="T27" s="10">
        <f t="shared" si="8"/>
        <v>95</v>
      </c>
      <c r="U27" s="10" t="str">
        <f t="shared" si="9"/>
        <v>APROBADO</v>
      </c>
    </row>
    <row r="28" spans="1:21" ht="13.15" x14ac:dyDescent="0.4">
      <c r="A28" s="5" t="s">
        <v>141</v>
      </c>
      <c r="B28" s="7">
        <f>Retroalimentacion!H23</f>
        <v>0</v>
      </c>
      <c r="C28" s="8">
        <f t="shared" si="1"/>
        <v>0</v>
      </c>
      <c r="D28" s="7">
        <f>PortafolioEvidencias!E23</f>
        <v>0</v>
      </c>
      <c r="E28" s="8">
        <f t="shared" si="2"/>
        <v>0</v>
      </c>
      <c r="F28" s="7">
        <f>AprendizajeColaborativo!F23</f>
        <v>0</v>
      </c>
      <c r="G28" s="8">
        <f t="shared" si="0"/>
        <v>0</v>
      </c>
      <c r="H28" s="7">
        <f>Quices!F23</f>
        <v>0</v>
      </c>
      <c r="I28" s="8">
        <f t="shared" si="3"/>
        <v>0</v>
      </c>
      <c r="J28" s="7">
        <f>Tareas!N24</f>
        <v>0</v>
      </c>
      <c r="K28" s="8">
        <f t="shared" si="4"/>
        <v>0</v>
      </c>
      <c r="L28" s="7">
        <f>Proyecto!K23</f>
        <v>0</v>
      </c>
      <c r="M28" s="8">
        <f t="shared" si="5"/>
        <v>0</v>
      </c>
      <c r="N28" s="7">
        <f>Examenes!B23</f>
        <v>0</v>
      </c>
      <c r="O28" s="7">
        <f>Examenes!C23</f>
        <v>0</v>
      </c>
      <c r="P28" s="7">
        <f>Examenes!D23</f>
        <v>0</v>
      </c>
      <c r="Q28" s="8">
        <f t="shared" si="6"/>
        <v>0</v>
      </c>
      <c r="R28" s="9">
        <f>Retroalimentacion!O83</f>
        <v>0</v>
      </c>
      <c r="S28" s="9">
        <f t="shared" si="7"/>
        <v>0</v>
      </c>
      <c r="T28" s="10">
        <f t="shared" si="8"/>
        <v>0</v>
      </c>
      <c r="U28" s="10" t="str">
        <f t="shared" si="9"/>
        <v>REPROBADO</v>
      </c>
    </row>
    <row r="29" spans="1:21" ht="13.15" x14ac:dyDescent="0.4">
      <c r="A29" s="5" t="s">
        <v>142</v>
      </c>
      <c r="B29" s="7">
        <f>Retroalimentacion!H24</f>
        <v>97.25</v>
      </c>
      <c r="C29" s="8">
        <f>B29*0.1</f>
        <v>9.7250000000000014</v>
      </c>
      <c r="D29" s="7">
        <f>PortafolioEvidencias!E24</f>
        <v>45</v>
      </c>
      <c r="E29" s="8">
        <f>D29*0.1</f>
        <v>4.5</v>
      </c>
      <c r="F29" s="7">
        <f>AprendizajeColaborativo!F24</f>
        <v>25.867979166666665</v>
      </c>
      <c r="G29" s="8">
        <f t="shared" ref="G29:G35" si="10">F29*0.1</f>
        <v>2.5867979166666668</v>
      </c>
      <c r="H29" s="7">
        <f>Quices!F24</f>
        <v>61.620000000000005</v>
      </c>
      <c r="I29" s="8">
        <f>H29*0.05</f>
        <v>3.0810000000000004</v>
      </c>
      <c r="J29" s="7">
        <f>Tareas!N25</f>
        <v>9.25</v>
      </c>
      <c r="K29" s="8">
        <f>J29*0.05</f>
        <v>0.46250000000000002</v>
      </c>
      <c r="L29" s="7">
        <f>Proyecto!K24</f>
        <v>16.25</v>
      </c>
      <c r="M29" s="8">
        <f>L29*0.3</f>
        <v>4.875</v>
      </c>
      <c r="N29" s="7">
        <f>Examenes!B24</f>
        <v>82</v>
      </c>
      <c r="O29" s="7">
        <f>Examenes!C24</f>
        <v>86</v>
      </c>
      <c r="P29" s="7">
        <f>Examenes!D24</f>
        <v>0</v>
      </c>
      <c r="Q29" s="8">
        <f>N29*0.1+O29*0.1+P29*0.1</f>
        <v>16.8</v>
      </c>
      <c r="R29" s="9">
        <f>Retroalimentacion!O84</f>
        <v>0.43478260869565216</v>
      </c>
      <c r="S29" s="9">
        <f t="shared" si="7"/>
        <v>42.465080525362318</v>
      </c>
      <c r="T29" s="10">
        <f>IF(((S29*0.1)-INT(S29*0.1))&gt;=0.25,IF(((S29*0.1)-INT(S29*0.1))&lt;=0.5,CEILING(S29,5),IF(((S29*0.1)-INT(S29*0.1))&gt;=0.75,CEILING(S29,5),FLOOR(S29,5))),FLOOR(S29,5))</f>
        <v>40</v>
      </c>
      <c r="U29" s="10" t="str">
        <f>IF(T29&gt;=67.5,"APROBADO",IF(T29&gt;=57.5,"AMPLIACION","REPROBADO"))</f>
        <v>REPROBADO</v>
      </c>
    </row>
    <row r="30" spans="1:21" ht="13.15" x14ac:dyDescent="0.4">
      <c r="A30" s="5" t="s">
        <v>143</v>
      </c>
      <c r="B30" s="7">
        <f>Retroalimentacion!H25</f>
        <v>97.25</v>
      </c>
      <c r="C30" s="8">
        <f t="shared" ref="C30:C35" si="11">B30*0.1</f>
        <v>9.7250000000000014</v>
      </c>
      <c r="D30" s="7">
        <f>PortafolioEvidencias!E25</f>
        <v>45</v>
      </c>
      <c r="E30" s="8">
        <f t="shared" ref="E30:E35" si="12">D30*0.1</f>
        <v>4.5</v>
      </c>
      <c r="F30" s="7">
        <f>AprendizajeColaborativo!F25</f>
        <v>25.867979166666665</v>
      </c>
      <c r="G30" s="8">
        <f t="shared" si="10"/>
        <v>2.5867979166666668</v>
      </c>
      <c r="H30" s="7">
        <f>Quices!F25</f>
        <v>61.620000000000005</v>
      </c>
      <c r="I30" s="8">
        <f t="shared" ref="I30:I35" si="13">H30*0.05</f>
        <v>3.0810000000000004</v>
      </c>
      <c r="J30" s="7">
        <f>Tareas!N26</f>
        <v>9.25</v>
      </c>
      <c r="K30" s="8">
        <f t="shared" ref="K30:K35" si="14">J30*0.05</f>
        <v>0.46250000000000002</v>
      </c>
      <c r="L30" s="7">
        <f>Proyecto!K25</f>
        <v>16.180555555555557</v>
      </c>
      <c r="M30" s="8">
        <f t="shared" ref="M30:M35" si="15">L30*0.3</f>
        <v>4.854166666666667</v>
      </c>
      <c r="N30" s="7">
        <f>Examenes!B25</f>
        <v>82</v>
      </c>
      <c r="O30" s="7">
        <f>Examenes!C25</f>
        <v>86</v>
      </c>
      <c r="P30" s="7">
        <f>Examenes!D25</f>
        <v>0</v>
      </c>
      <c r="Q30" s="8">
        <f t="shared" ref="Q30:Q35" si="16">N30*0.1+O30*0.1+P30*0.1</f>
        <v>16.8</v>
      </c>
      <c r="R30" s="9">
        <f>Retroalimentacion!O85</f>
        <v>0.32608695652173914</v>
      </c>
      <c r="S30" s="9">
        <f t="shared" si="7"/>
        <v>42.335551539855082</v>
      </c>
      <c r="T30" s="10">
        <f t="shared" ref="T30:T35" si="17">IF(((S30*0.1)-INT(S30*0.1))&gt;=0.25,IF(((S30*0.1)-INT(S30*0.1))&lt;=0.5,CEILING(S30,5),IF(((S30*0.1)-INT(S30*0.1))&gt;=0.75,CEILING(S30,5),FLOOR(S30,5))),FLOOR(S30,5))</f>
        <v>40</v>
      </c>
      <c r="U30" s="10" t="str">
        <f t="shared" ref="U30:U35" si="18">IF(T30&gt;=67.5,"APROBADO",IF(T30&gt;=57.5,"AMPLIACION","REPROBADO"))</f>
        <v>REPROBADO</v>
      </c>
    </row>
    <row r="31" spans="1:21" ht="13.15" x14ac:dyDescent="0.4">
      <c r="A31" s="5" t="s">
        <v>97</v>
      </c>
      <c r="B31" s="7">
        <f>Retroalimentacion!H26</f>
        <v>100</v>
      </c>
      <c r="C31" s="8">
        <f t="shared" si="11"/>
        <v>10</v>
      </c>
      <c r="D31" s="7">
        <f>PortafolioEvidencias!E26</f>
        <v>99</v>
      </c>
      <c r="E31" s="8">
        <f t="shared" si="12"/>
        <v>9.9</v>
      </c>
      <c r="F31" s="7">
        <f>AprendizajeColaborativo!F26</f>
        <v>97.713250000000002</v>
      </c>
      <c r="G31" s="8">
        <f t="shared" si="10"/>
        <v>9.7713250000000009</v>
      </c>
      <c r="H31" s="7">
        <f>Quices!F26</f>
        <v>93.19</v>
      </c>
      <c r="I31" s="8">
        <f t="shared" si="13"/>
        <v>4.6595000000000004</v>
      </c>
      <c r="J31" s="7">
        <f>Tareas!N27</f>
        <v>96.875</v>
      </c>
      <c r="K31" s="8">
        <f t="shared" si="14"/>
        <v>4.84375</v>
      </c>
      <c r="L31" s="7">
        <f>Proyecto!K26</f>
        <v>96.458333333333329</v>
      </c>
      <c r="M31" s="8">
        <f t="shared" si="15"/>
        <v>28.937499999999996</v>
      </c>
      <c r="N31" s="7">
        <f>Examenes!B26</f>
        <v>93</v>
      </c>
      <c r="O31" s="7">
        <f>Examenes!C26</f>
        <v>100</v>
      </c>
      <c r="P31" s="7">
        <f>Examenes!D26</f>
        <v>95</v>
      </c>
      <c r="Q31" s="8">
        <f t="shared" si="16"/>
        <v>28.8</v>
      </c>
      <c r="R31" s="9">
        <f>Retroalimentacion!O86</f>
        <v>1.7391304347826086</v>
      </c>
      <c r="S31" s="9">
        <f t="shared" si="7"/>
        <v>98.651205434782597</v>
      </c>
      <c r="T31" s="10">
        <f t="shared" si="17"/>
        <v>100</v>
      </c>
      <c r="U31" s="10" t="str">
        <f t="shared" si="18"/>
        <v>APROBADO</v>
      </c>
    </row>
    <row r="32" spans="1:21" ht="13.15" x14ac:dyDescent="0.4">
      <c r="A32" s="5" t="s">
        <v>98</v>
      </c>
      <c r="B32" s="7">
        <f>Retroalimentacion!H27</f>
        <v>90</v>
      </c>
      <c r="C32" s="8">
        <f t="shared" si="11"/>
        <v>9</v>
      </c>
      <c r="D32" s="7">
        <f>PortafolioEvidencias!E27</f>
        <v>99.333333333333329</v>
      </c>
      <c r="E32" s="8">
        <f t="shared" si="12"/>
        <v>9.9333333333333336</v>
      </c>
      <c r="F32" s="7">
        <f>AprendizajeColaborativo!F27</f>
        <v>98.255250000000004</v>
      </c>
      <c r="G32" s="8">
        <f t="shared" si="10"/>
        <v>9.8255250000000007</v>
      </c>
      <c r="H32" s="7">
        <f>Quices!F27</f>
        <v>87.713333333333324</v>
      </c>
      <c r="I32" s="8">
        <f t="shared" si="13"/>
        <v>4.3856666666666664</v>
      </c>
      <c r="J32" s="7">
        <f>Tareas!N28</f>
        <v>83.875</v>
      </c>
      <c r="K32" s="8">
        <f t="shared" si="14"/>
        <v>4.1937500000000005</v>
      </c>
      <c r="L32" s="7">
        <f>Proyecto!K27</f>
        <v>96.25</v>
      </c>
      <c r="M32" s="8">
        <f t="shared" si="15"/>
        <v>28.875</v>
      </c>
      <c r="N32" s="7">
        <f>Examenes!B27</f>
        <v>88</v>
      </c>
      <c r="O32" s="7">
        <f>Examenes!C27</f>
        <v>84</v>
      </c>
      <c r="P32" s="7">
        <f>Examenes!D27</f>
        <v>87</v>
      </c>
      <c r="Q32" s="8">
        <f t="shared" si="16"/>
        <v>25.900000000000006</v>
      </c>
      <c r="R32" s="9">
        <f>Retroalimentacion!O87</f>
        <v>0</v>
      </c>
      <c r="S32" s="9">
        <f t="shared" si="7"/>
        <v>92.113275000000016</v>
      </c>
      <c r="T32" s="10">
        <f t="shared" si="17"/>
        <v>90</v>
      </c>
      <c r="U32" s="10" t="str">
        <f t="shared" si="18"/>
        <v>APROBADO</v>
      </c>
    </row>
    <row r="33" spans="1:21" ht="13.15" x14ac:dyDescent="0.4">
      <c r="A33" s="5" t="s">
        <v>144</v>
      </c>
      <c r="B33" s="7">
        <f>Retroalimentacion!H28</f>
        <v>98.5</v>
      </c>
      <c r="C33" s="8">
        <f t="shared" si="11"/>
        <v>9.8500000000000014</v>
      </c>
      <c r="D33" s="7">
        <f>PortafolioEvidencias!E28</f>
        <v>98.666666666666671</v>
      </c>
      <c r="E33" s="8">
        <f t="shared" si="12"/>
        <v>9.8666666666666671</v>
      </c>
      <c r="F33" s="7">
        <f>AprendizajeColaborativo!F28</f>
        <v>98.224999999999994</v>
      </c>
      <c r="G33" s="8">
        <f t="shared" si="10"/>
        <v>9.8224999999999998</v>
      </c>
      <c r="H33" s="7">
        <f>Quices!F28</f>
        <v>92.046666666666667</v>
      </c>
      <c r="I33" s="8">
        <f t="shared" si="13"/>
        <v>4.6023333333333332</v>
      </c>
      <c r="J33" s="7">
        <f>Tareas!N29</f>
        <v>77.125</v>
      </c>
      <c r="K33" s="8">
        <f t="shared" si="14"/>
        <v>3.8562500000000002</v>
      </c>
      <c r="L33" s="7">
        <f>Proyecto!K28</f>
        <v>87.916666666666671</v>
      </c>
      <c r="M33" s="8">
        <f t="shared" si="15"/>
        <v>26.375</v>
      </c>
      <c r="N33" s="7">
        <f>Examenes!B28</f>
        <v>77</v>
      </c>
      <c r="O33" s="7">
        <f>Examenes!C28</f>
        <v>79</v>
      </c>
      <c r="P33" s="7">
        <f>Examenes!D28</f>
        <v>90</v>
      </c>
      <c r="Q33" s="8">
        <f t="shared" si="16"/>
        <v>24.6</v>
      </c>
      <c r="R33" s="9">
        <f>Retroalimentacion!O88</f>
        <v>0</v>
      </c>
      <c r="S33" s="9">
        <f t="shared" si="7"/>
        <v>88.972749999999991</v>
      </c>
      <c r="T33" s="10">
        <f t="shared" si="17"/>
        <v>90</v>
      </c>
      <c r="U33" s="10" t="str">
        <f t="shared" si="18"/>
        <v>APROBADO</v>
      </c>
    </row>
    <row r="34" spans="1:21" ht="13.15" x14ac:dyDescent="0.4">
      <c r="A34" s="5" t="s">
        <v>99</v>
      </c>
      <c r="B34" s="7">
        <f>Retroalimentacion!H29</f>
        <v>99</v>
      </c>
      <c r="C34" s="8">
        <f t="shared" si="11"/>
        <v>9.9</v>
      </c>
      <c r="D34" s="7">
        <f>PortafolioEvidencias!E29</f>
        <v>100</v>
      </c>
      <c r="E34" s="8">
        <f t="shared" si="12"/>
        <v>10</v>
      </c>
      <c r="F34" s="7">
        <f>AprendizajeColaborativo!F29</f>
        <v>96.093291666666673</v>
      </c>
      <c r="G34" s="8">
        <f t="shared" si="10"/>
        <v>9.6093291666666687</v>
      </c>
      <c r="H34" s="7">
        <f>Quices!F29</f>
        <v>92.333333333333329</v>
      </c>
      <c r="I34" s="8">
        <f t="shared" si="13"/>
        <v>4.6166666666666663</v>
      </c>
      <c r="J34" s="7">
        <f>Tareas!N30</f>
        <v>80.75</v>
      </c>
      <c r="K34" s="8">
        <f t="shared" si="14"/>
        <v>4.0375000000000005</v>
      </c>
      <c r="L34" s="7">
        <f>Proyecto!K29</f>
        <v>94.375</v>
      </c>
      <c r="M34" s="8">
        <f t="shared" si="15"/>
        <v>28.3125</v>
      </c>
      <c r="N34" s="7">
        <f>Examenes!B29</f>
        <v>91</v>
      </c>
      <c r="O34" s="7">
        <f>Examenes!C29</f>
        <v>94</v>
      </c>
      <c r="P34" s="7">
        <f>Examenes!D29</f>
        <v>100</v>
      </c>
      <c r="Q34" s="8">
        <f t="shared" si="16"/>
        <v>28.5</v>
      </c>
      <c r="R34" s="9">
        <f>Retroalimentacion!O89</f>
        <v>0</v>
      </c>
      <c r="S34" s="9">
        <f t="shared" si="7"/>
        <v>94.975995833333343</v>
      </c>
      <c r="T34" s="10">
        <f t="shared" si="17"/>
        <v>95</v>
      </c>
      <c r="U34" s="10" t="str">
        <f t="shared" si="18"/>
        <v>APROBADO</v>
      </c>
    </row>
    <row r="35" spans="1:21" ht="13.15" x14ac:dyDescent="0.4">
      <c r="A35" s="5" t="s">
        <v>100</v>
      </c>
      <c r="B35" s="7">
        <f>Retroalimentacion!H30</f>
        <v>100</v>
      </c>
      <c r="C35" s="8">
        <f t="shared" si="11"/>
        <v>10</v>
      </c>
      <c r="D35" s="7">
        <f>PortafolioEvidencias!E30</f>
        <v>100</v>
      </c>
      <c r="E35" s="8">
        <f t="shared" si="12"/>
        <v>10</v>
      </c>
      <c r="F35" s="7">
        <f>AprendizajeColaborativo!F30</f>
        <v>94.565250000000006</v>
      </c>
      <c r="G35" s="8">
        <f t="shared" si="10"/>
        <v>9.456525000000001</v>
      </c>
      <c r="H35" s="7">
        <f>Quices!F30</f>
        <v>85.096666666666678</v>
      </c>
      <c r="I35" s="8">
        <f t="shared" si="13"/>
        <v>4.2548333333333339</v>
      </c>
      <c r="J35" s="7">
        <f>Tareas!N31</f>
        <v>85.5</v>
      </c>
      <c r="K35" s="8">
        <f t="shared" si="14"/>
        <v>4.2750000000000004</v>
      </c>
      <c r="L35" s="7">
        <f>Proyecto!K30</f>
        <v>98.541666666666671</v>
      </c>
      <c r="M35" s="8">
        <f t="shared" si="15"/>
        <v>29.5625</v>
      </c>
      <c r="N35" s="7">
        <f>Examenes!B30</f>
        <v>78</v>
      </c>
      <c r="O35" s="7">
        <f>Examenes!C30</f>
        <v>77</v>
      </c>
      <c r="P35" s="7">
        <f>Examenes!D30</f>
        <v>100</v>
      </c>
      <c r="Q35" s="8">
        <f t="shared" si="16"/>
        <v>25.5</v>
      </c>
      <c r="R35" s="9">
        <f>Retroalimentacion!O90</f>
        <v>0.76086956521739135</v>
      </c>
      <c r="S35" s="9">
        <f t="shared" si="7"/>
        <v>93.809727898550719</v>
      </c>
      <c r="T35" s="10">
        <f t="shared" si="17"/>
        <v>95</v>
      </c>
      <c r="U35" s="10" t="str">
        <f t="shared" si="18"/>
        <v>APROBADO</v>
      </c>
    </row>
  </sheetData>
  <sheetProtection selectLockedCells="1" selectUnlockedCells="1"/>
  <mergeCells count="6">
    <mergeCell ref="A1:T1"/>
    <mergeCell ref="A2:T2"/>
    <mergeCell ref="A4:T4"/>
    <mergeCell ref="A5:T5"/>
    <mergeCell ref="A6:T6"/>
    <mergeCell ref="A3:U3"/>
  </mergeCells>
  <pageMargins left="0.19652777777777777" right="0.19652777777777777" top="0.19652777777777777" bottom="0.19652777777777777" header="0.51180555555555551" footer="0.51180555555555551"/>
  <pageSetup paperSize="345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0"/>
  <sheetViews>
    <sheetView workbookViewId="0">
      <pane xSplit="1" ySplit="3" topLeftCell="B4" activePane="bottomRight" state="frozen"/>
      <selection pane="topRight" activeCell="C1" sqref="C1"/>
      <selection pane="bottomLeft" activeCell="A9" sqref="A9"/>
      <selection pane="bottomRight" activeCell="E7" sqref="E7"/>
    </sheetView>
  </sheetViews>
  <sheetFormatPr baseColWidth="10" defaultRowHeight="12.75" x14ac:dyDescent="0.35"/>
  <cols>
    <col min="1" max="5" width="8.73046875" customWidth="1"/>
    <col min="6" max="6" width="15.73046875" customWidth="1"/>
    <col min="7" max="255" width="9.06640625" customWidth="1"/>
  </cols>
  <sheetData>
    <row r="1" spans="1:8" ht="15" x14ac:dyDescent="0.4">
      <c r="A1" s="68" t="s">
        <v>5</v>
      </c>
      <c r="B1" s="68"/>
      <c r="C1" s="68"/>
      <c r="D1" s="68"/>
      <c r="E1" s="68"/>
      <c r="F1" s="68"/>
    </row>
    <row r="2" spans="1:8" ht="13.15" x14ac:dyDescent="0.4">
      <c r="A2" s="1"/>
      <c r="B2" s="2"/>
      <c r="C2" s="2"/>
      <c r="D2" s="2"/>
      <c r="E2" s="2"/>
      <c r="F2" s="2"/>
    </row>
    <row r="3" spans="1:8" x14ac:dyDescent="0.35">
      <c r="A3" s="23" t="s">
        <v>2</v>
      </c>
      <c r="B3" s="23" t="s">
        <v>44</v>
      </c>
      <c r="C3" s="23" t="s">
        <v>45</v>
      </c>
      <c r="D3" s="23" t="s">
        <v>46</v>
      </c>
      <c r="E3" s="23" t="s">
        <v>47</v>
      </c>
      <c r="F3" s="23" t="s">
        <v>48</v>
      </c>
    </row>
    <row r="4" spans="1:8" ht="13.15" x14ac:dyDescent="0.4">
      <c r="A4" s="5" t="s">
        <v>81</v>
      </c>
      <c r="B4" s="22">
        <v>97.14</v>
      </c>
      <c r="C4" s="22">
        <v>0</v>
      </c>
      <c r="D4" s="22">
        <v>72</v>
      </c>
      <c r="E4" s="22">
        <v>90</v>
      </c>
      <c r="F4" s="8">
        <f>SUM(B4:E4)/3</f>
        <v>86.38</v>
      </c>
      <c r="H4" s="32">
        <v>5</v>
      </c>
    </row>
    <row r="5" spans="1:8" ht="13.15" x14ac:dyDescent="0.4">
      <c r="A5" s="5" t="s">
        <v>82</v>
      </c>
      <c r="B5" s="22">
        <v>84.29</v>
      </c>
      <c r="C5" s="22">
        <v>0</v>
      </c>
      <c r="D5" s="22">
        <v>76</v>
      </c>
      <c r="E5" s="22">
        <v>95</v>
      </c>
      <c r="F5" s="8">
        <f t="shared" ref="F5:F30" si="0">SUM(B5:E5)/3</f>
        <v>85.096666666666678</v>
      </c>
      <c r="H5" s="32">
        <v>6</v>
      </c>
    </row>
    <row r="6" spans="1:8" ht="13.15" x14ac:dyDescent="0.4">
      <c r="A6" s="5" t="s">
        <v>83</v>
      </c>
      <c r="B6" s="22">
        <v>0</v>
      </c>
      <c r="C6" s="22">
        <v>0</v>
      </c>
      <c r="D6" s="22">
        <v>0</v>
      </c>
      <c r="E6" s="22">
        <v>0</v>
      </c>
      <c r="F6" s="8">
        <f t="shared" si="0"/>
        <v>0</v>
      </c>
      <c r="H6" s="32"/>
    </row>
    <row r="7" spans="1:8" ht="13.15" x14ac:dyDescent="0.4">
      <c r="A7" s="5" t="s">
        <v>84</v>
      </c>
      <c r="B7" s="22">
        <v>94.29</v>
      </c>
      <c r="C7" s="22">
        <v>0</v>
      </c>
      <c r="D7" s="22">
        <v>92</v>
      </c>
      <c r="E7" s="22">
        <v>100</v>
      </c>
      <c r="F7" s="8">
        <f t="shared" si="0"/>
        <v>95.43</v>
      </c>
      <c r="H7" s="32">
        <v>2</v>
      </c>
    </row>
    <row r="8" spans="1:8" ht="13.15" x14ac:dyDescent="0.4">
      <c r="A8" s="5" t="s">
        <v>138</v>
      </c>
      <c r="B8" s="22">
        <v>92.86</v>
      </c>
      <c r="C8" s="22">
        <v>0</v>
      </c>
      <c r="D8" s="22">
        <v>92</v>
      </c>
      <c r="E8" s="22">
        <v>0</v>
      </c>
      <c r="F8" s="8">
        <f t="shared" si="0"/>
        <v>61.620000000000005</v>
      </c>
      <c r="H8" s="32">
        <v>3</v>
      </c>
    </row>
    <row r="9" spans="1:8" ht="13.15" x14ac:dyDescent="0.4">
      <c r="A9" s="5" t="s">
        <v>85</v>
      </c>
      <c r="B9" s="22">
        <v>97.14</v>
      </c>
      <c r="C9" s="22">
        <v>0</v>
      </c>
      <c r="D9" s="22">
        <v>76</v>
      </c>
      <c r="E9" s="22">
        <v>90</v>
      </c>
      <c r="F9" s="8">
        <f t="shared" si="0"/>
        <v>87.713333333333324</v>
      </c>
      <c r="H9" s="32">
        <v>5</v>
      </c>
    </row>
    <row r="10" spans="1:8" ht="13.15" x14ac:dyDescent="0.4">
      <c r="A10" s="5" t="s">
        <v>86</v>
      </c>
      <c r="B10" s="22">
        <v>88.57</v>
      </c>
      <c r="C10" s="22">
        <v>0</v>
      </c>
      <c r="D10" s="22">
        <v>96</v>
      </c>
      <c r="E10" s="22">
        <v>95</v>
      </c>
      <c r="F10" s="8">
        <f t="shared" si="0"/>
        <v>93.19</v>
      </c>
      <c r="H10" s="32">
        <v>1</v>
      </c>
    </row>
    <row r="11" spans="1:8" ht="13.15" x14ac:dyDescent="0.4">
      <c r="A11" s="5" t="s">
        <v>87</v>
      </c>
      <c r="B11" s="22">
        <v>90</v>
      </c>
      <c r="C11" s="22">
        <v>0</v>
      </c>
      <c r="D11" s="22">
        <v>92</v>
      </c>
      <c r="E11" s="22">
        <v>95</v>
      </c>
      <c r="F11" s="8">
        <f t="shared" si="0"/>
        <v>92.333333333333329</v>
      </c>
      <c r="H11" s="32">
        <v>7</v>
      </c>
    </row>
    <row r="12" spans="1:8" ht="13.15" x14ac:dyDescent="0.4">
      <c r="A12" s="5" t="s">
        <v>88</v>
      </c>
      <c r="B12" s="22">
        <v>88.57</v>
      </c>
      <c r="C12" s="22">
        <v>0</v>
      </c>
      <c r="D12" s="22">
        <v>96</v>
      </c>
      <c r="E12" s="22">
        <v>95</v>
      </c>
      <c r="F12" s="8">
        <f t="shared" si="0"/>
        <v>93.19</v>
      </c>
      <c r="H12" s="32">
        <v>1</v>
      </c>
    </row>
    <row r="13" spans="1:8" ht="13.15" x14ac:dyDescent="0.4">
      <c r="A13" s="5" t="s">
        <v>139</v>
      </c>
      <c r="B13" s="22">
        <v>97.14</v>
      </c>
      <c r="C13" s="22">
        <v>0</v>
      </c>
      <c r="D13" s="22">
        <v>84</v>
      </c>
      <c r="E13" s="22">
        <v>95</v>
      </c>
      <c r="F13" s="8">
        <f t="shared" si="0"/>
        <v>92.046666666666667</v>
      </c>
      <c r="H13" s="32">
        <v>4</v>
      </c>
    </row>
    <row r="14" spans="1:8" ht="13.15" x14ac:dyDescent="0.4">
      <c r="A14" s="5" t="s">
        <v>89</v>
      </c>
      <c r="B14" s="22">
        <v>84.29</v>
      </c>
      <c r="C14" s="22">
        <v>0</v>
      </c>
      <c r="D14" s="22">
        <v>76</v>
      </c>
      <c r="E14" s="22">
        <v>95</v>
      </c>
      <c r="F14" s="8">
        <f t="shared" si="0"/>
        <v>85.096666666666678</v>
      </c>
      <c r="H14" s="32">
        <v>6</v>
      </c>
    </row>
    <row r="15" spans="1:8" ht="13.15" x14ac:dyDescent="0.4">
      <c r="A15" s="5" t="s">
        <v>90</v>
      </c>
      <c r="B15" s="22">
        <v>97.14</v>
      </c>
      <c r="C15" s="22">
        <v>0</v>
      </c>
      <c r="D15" s="22">
        <v>84</v>
      </c>
      <c r="E15" s="22">
        <v>95</v>
      </c>
      <c r="F15" s="8">
        <f t="shared" si="0"/>
        <v>92.046666666666667</v>
      </c>
      <c r="H15" s="32">
        <v>4</v>
      </c>
    </row>
    <row r="16" spans="1:8" ht="13.15" x14ac:dyDescent="0.4">
      <c r="A16" s="5" t="s">
        <v>91</v>
      </c>
      <c r="B16" s="22">
        <v>84.29</v>
      </c>
      <c r="C16" s="22">
        <v>0</v>
      </c>
      <c r="D16" s="22">
        <v>76</v>
      </c>
      <c r="E16" s="22">
        <v>95</v>
      </c>
      <c r="F16" s="8">
        <f t="shared" si="0"/>
        <v>85.096666666666678</v>
      </c>
      <c r="H16" s="32">
        <v>6</v>
      </c>
    </row>
    <row r="17" spans="1:8" ht="13.15" x14ac:dyDescent="0.4">
      <c r="A17" s="5" t="s">
        <v>92</v>
      </c>
      <c r="B17" s="22">
        <v>90</v>
      </c>
      <c r="C17" s="22">
        <v>0</v>
      </c>
      <c r="D17" s="22">
        <v>92</v>
      </c>
      <c r="E17" s="22">
        <v>95</v>
      </c>
      <c r="F17" s="8">
        <f t="shared" si="0"/>
        <v>92.333333333333329</v>
      </c>
      <c r="H17" s="32">
        <v>7</v>
      </c>
    </row>
    <row r="18" spans="1:8" ht="13.15" x14ac:dyDescent="0.4">
      <c r="A18" s="5" t="s">
        <v>93</v>
      </c>
      <c r="B18" s="22">
        <v>88.57</v>
      </c>
      <c r="C18" s="22">
        <v>0</v>
      </c>
      <c r="D18" s="22">
        <v>96</v>
      </c>
      <c r="E18" s="22">
        <v>95</v>
      </c>
      <c r="F18" s="8">
        <f t="shared" si="0"/>
        <v>93.19</v>
      </c>
      <c r="H18" s="32">
        <v>1</v>
      </c>
    </row>
    <row r="19" spans="1:8" ht="13.15" x14ac:dyDescent="0.4">
      <c r="A19" s="5" t="s">
        <v>94</v>
      </c>
      <c r="B19" s="22">
        <v>94.29</v>
      </c>
      <c r="C19" s="22">
        <v>0</v>
      </c>
      <c r="D19" s="22">
        <v>92</v>
      </c>
      <c r="E19" s="22">
        <v>100</v>
      </c>
      <c r="F19" s="8">
        <f t="shared" si="0"/>
        <v>95.43</v>
      </c>
      <c r="H19" s="32">
        <v>2</v>
      </c>
    </row>
    <row r="20" spans="1:8" ht="13.15" x14ac:dyDescent="0.4">
      <c r="A20" s="5" t="s">
        <v>140</v>
      </c>
      <c r="B20" s="22">
        <v>90</v>
      </c>
      <c r="C20" s="22">
        <v>0</v>
      </c>
      <c r="D20" s="22">
        <v>92</v>
      </c>
      <c r="E20" s="22">
        <v>95</v>
      </c>
      <c r="F20" s="8">
        <f t="shared" si="0"/>
        <v>92.333333333333329</v>
      </c>
      <c r="H20" s="32">
        <v>7</v>
      </c>
    </row>
    <row r="21" spans="1:8" ht="13.15" x14ac:dyDescent="0.4">
      <c r="A21" s="5" t="s">
        <v>95</v>
      </c>
      <c r="B21" s="22">
        <v>94.29</v>
      </c>
      <c r="C21" s="22">
        <v>0</v>
      </c>
      <c r="D21" s="22">
        <v>92</v>
      </c>
      <c r="E21" s="22">
        <v>100</v>
      </c>
      <c r="F21" s="8">
        <f t="shared" si="0"/>
        <v>95.43</v>
      </c>
      <c r="H21" s="32">
        <v>2</v>
      </c>
    </row>
    <row r="22" spans="1:8" ht="13.15" x14ac:dyDescent="0.4">
      <c r="A22" s="5" t="s">
        <v>96</v>
      </c>
      <c r="B22" s="22">
        <v>94.29</v>
      </c>
      <c r="C22" s="22">
        <v>0</v>
      </c>
      <c r="D22" s="22">
        <v>92</v>
      </c>
      <c r="E22" s="22">
        <v>100</v>
      </c>
      <c r="F22" s="8">
        <f t="shared" si="0"/>
        <v>95.43</v>
      </c>
      <c r="H22" s="32">
        <v>2</v>
      </c>
    </row>
    <row r="23" spans="1:8" ht="13.15" x14ac:dyDescent="0.4">
      <c r="A23" s="5" t="s">
        <v>141</v>
      </c>
      <c r="B23" s="22">
        <v>0</v>
      </c>
      <c r="C23" s="22">
        <v>0</v>
      </c>
      <c r="D23" s="22">
        <v>0</v>
      </c>
      <c r="E23" s="22">
        <v>0</v>
      </c>
      <c r="F23" s="8">
        <f t="shared" si="0"/>
        <v>0</v>
      </c>
      <c r="H23" s="32"/>
    </row>
    <row r="24" spans="1:8" ht="13.15" x14ac:dyDescent="0.4">
      <c r="A24" s="5" t="s">
        <v>142</v>
      </c>
      <c r="B24" s="22">
        <v>92.86</v>
      </c>
      <c r="C24" s="22">
        <v>0</v>
      </c>
      <c r="D24" s="22">
        <v>92</v>
      </c>
      <c r="E24" s="22">
        <v>0</v>
      </c>
      <c r="F24" s="8">
        <f t="shared" si="0"/>
        <v>61.620000000000005</v>
      </c>
      <c r="H24" s="32">
        <v>3</v>
      </c>
    </row>
    <row r="25" spans="1:8" ht="13.15" x14ac:dyDescent="0.4">
      <c r="A25" s="5" t="s">
        <v>143</v>
      </c>
      <c r="B25" s="22">
        <v>92.86</v>
      </c>
      <c r="C25" s="22">
        <v>0</v>
      </c>
      <c r="D25" s="22">
        <v>92</v>
      </c>
      <c r="E25" s="22">
        <v>0</v>
      </c>
      <c r="F25" s="8">
        <f t="shared" si="0"/>
        <v>61.620000000000005</v>
      </c>
      <c r="H25" s="32">
        <v>3</v>
      </c>
    </row>
    <row r="26" spans="1:8" ht="13.15" x14ac:dyDescent="0.4">
      <c r="A26" s="5" t="s">
        <v>97</v>
      </c>
      <c r="B26" s="22">
        <v>88.57</v>
      </c>
      <c r="C26" s="22">
        <v>0</v>
      </c>
      <c r="D26" s="22">
        <v>96</v>
      </c>
      <c r="E26" s="22">
        <v>95</v>
      </c>
      <c r="F26" s="8">
        <f t="shared" si="0"/>
        <v>93.19</v>
      </c>
      <c r="H26" s="32">
        <v>1</v>
      </c>
    </row>
    <row r="27" spans="1:8" ht="13.15" x14ac:dyDescent="0.4">
      <c r="A27" s="5" t="s">
        <v>98</v>
      </c>
      <c r="B27" s="22">
        <v>97.14</v>
      </c>
      <c r="C27" s="22">
        <v>0</v>
      </c>
      <c r="D27" s="22">
        <v>76</v>
      </c>
      <c r="E27" s="22">
        <v>90</v>
      </c>
      <c r="F27" s="8">
        <f t="shared" si="0"/>
        <v>87.713333333333324</v>
      </c>
      <c r="H27" s="32">
        <v>5</v>
      </c>
    </row>
    <row r="28" spans="1:8" ht="13.15" x14ac:dyDescent="0.4">
      <c r="A28" s="5" t="s">
        <v>144</v>
      </c>
      <c r="B28" s="22">
        <v>97.14</v>
      </c>
      <c r="C28" s="22">
        <v>0</v>
      </c>
      <c r="D28" s="22">
        <v>84</v>
      </c>
      <c r="E28" s="22">
        <v>95</v>
      </c>
      <c r="F28" s="8">
        <f t="shared" si="0"/>
        <v>92.046666666666667</v>
      </c>
      <c r="H28" s="32">
        <v>4</v>
      </c>
    </row>
    <row r="29" spans="1:8" ht="13.15" x14ac:dyDescent="0.4">
      <c r="A29" s="5" t="s">
        <v>99</v>
      </c>
      <c r="B29" s="22">
        <v>90</v>
      </c>
      <c r="C29" s="22">
        <v>0</v>
      </c>
      <c r="D29" s="22">
        <v>92</v>
      </c>
      <c r="E29" s="22">
        <v>95</v>
      </c>
      <c r="F29" s="8">
        <f t="shared" si="0"/>
        <v>92.333333333333329</v>
      </c>
      <c r="H29" s="32">
        <v>7</v>
      </c>
    </row>
    <row r="30" spans="1:8" ht="13.15" x14ac:dyDescent="0.4">
      <c r="A30" s="5" t="s">
        <v>100</v>
      </c>
      <c r="B30" s="22">
        <v>84.29</v>
      </c>
      <c r="C30" s="22">
        <v>0</v>
      </c>
      <c r="D30" s="22">
        <v>76</v>
      </c>
      <c r="E30" s="22">
        <v>95</v>
      </c>
      <c r="F30" s="8">
        <f t="shared" si="0"/>
        <v>85.096666666666678</v>
      </c>
      <c r="H30" s="32">
        <v>6</v>
      </c>
    </row>
  </sheetData>
  <sheetProtection selectLockedCells="1" selectUnlockedCells="1"/>
  <mergeCells count="1">
    <mergeCell ref="A1:F1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51"/>
  <sheetViews>
    <sheetView workbookViewId="0">
      <pane xSplit="1" ySplit="3" topLeftCell="B4" activePane="bottomRight" state="frozen"/>
      <selection pane="topRight" activeCell="C1" sqref="C1"/>
      <selection pane="bottomLeft" activeCell="A9" sqref="A9"/>
      <selection pane="bottomRight" activeCell="M17" sqref="M17"/>
    </sheetView>
  </sheetViews>
  <sheetFormatPr baseColWidth="10" defaultRowHeight="12.75" x14ac:dyDescent="0.35"/>
  <cols>
    <col min="1" max="13" width="8.73046875" customWidth="1"/>
    <col min="14" max="14" width="14.3984375" bestFit="1" customWidth="1"/>
    <col min="15" max="255" width="9.06640625" customWidth="1"/>
  </cols>
  <sheetData>
    <row r="1" spans="1:16" ht="15" x14ac:dyDescent="0.4">
      <c r="A1" s="68" t="s">
        <v>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6" ht="13.15" x14ac:dyDescent="0.4">
      <c r="A2" s="1"/>
      <c r="B2" s="38"/>
      <c r="C2" s="3"/>
      <c r="D2" s="3"/>
      <c r="E2" s="3"/>
      <c r="F2" s="3"/>
    </row>
    <row r="3" spans="1:16" x14ac:dyDescent="0.35">
      <c r="A3" s="77" t="s">
        <v>2</v>
      </c>
      <c r="B3" s="74" t="s">
        <v>49</v>
      </c>
      <c r="C3" s="74"/>
      <c r="D3" s="74"/>
      <c r="E3" s="74" t="s">
        <v>50</v>
      </c>
      <c r="F3" s="74"/>
      <c r="G3" s="74"/>
      <c r="H3" s="74" t="s">
        <v>51</v>
      </c>
      <c r="I3" s="74"/>
      <c r="J3" s="74"/>
      <c r="K3" s="74" t="s">
        <v>52</v>
      </c>
      <c r="L3" s="74"/>
      <c r="M3" s="74"/>
      <c r="N3" s="75" t="s">
        <v>53</v>
      </c>
    </row>
    <row r="4" spans="1:16" x14ac:dyDescent="0.35">
      <c r="A4" s="78"/>
      <c r="B4" s="40" t="s">
        <v>15</v>
      </c>
      <c r="C4" s="40" t="s">
        <v>69</v>
      </c>
      <c r="D4" s="40" t="s">
        <v>18</v>
      </c>
      <c r="E4" s="40" t="s">
        <v>15</v>
      </c>
      <c r="F4" s="40" t="s">
        <v>69</v>
      </c>
      <c r="G4" s="40" t="s">
        <v>18</v>
      </c>
      <c r="H4" s="40" t="s">
        <v>15</v>
      </c>
      <c r="I4" s="40" t="s">
        <v>69</v>
      </c>
      <c r="J4" s="40" t="s">
        <v>18</v>
      </c>
      <c r="K4" s="40" t="s">
        <v>15</v>
      </c>
      <c r="L4" s="40" t="s">
        <v>69</v>
      </c>
      <c r="M4" s="40" t="s">
        <v>18</v>
      </c>
      <c r="N4" s="76"/>
    </row>
    <row r="5" spans="1:16" ht="13.15" x14ac:dyDescent="0.4">
      <c r="A5" s="5" t="s">
        <v>81</v>
      </c>
      <c r="B5" s="22">
        <v>100</v>
      </c>
      <c r="C5" s="39">
        <f>F35</f>
        <v>0</v>
      </c>
      <c r="D5" s="8">
        <f>AVERAGE(B5:C5)</f>
        <v>50</v>
      </c>
      <c r="E5" s="22">
        <v>84</v>
      </c>
      <c r="F5" s="39">
        <f>F65</f>
        <v>100</v>
      </c>
      <c r="G5" s="8">
        <f>AVERAGE(E5:F5)</f>
        <v>92</v>
      </c>
      <c r="H5" s="22">
        <v>97</v>
      </c>
      <c r="I5" s="39">
        <f>F95</f>
        <v>100</v>
      </c>
      <c r="J5" s="8">
        <f>AVERAGE(H5:I5)</f>
        <v>98.5</v>
      </c>
      <c r="K5" s="22">
        <v>90</v>
      </c>
      <c r="L5" s="39">
        <f>F125</f>
        <v>100</v>
      </c>
      <c r="M5" s="8">
        <f>AVERAGE(K5:L5)</f>
        <v>95</v>
      </c>
      <c r="N5" s="9">
        <f>AVERAGE(D5,G5,J5,M5)</f>
        <v>83.875</v>
      </c>
      <c r="P5" s="32">
        <v>5</v>
      </c>
    </row>
    <row r="6" spans="1:16" ht="13.15" x14ac:dyDescent="0.4">
      <c r="A6" s="5" t="s">
        <v>82</v>
      </c>
      <c r="B6" s="22">
        <v>100</v>
      </c>
      <c r="C6" s="39">
        <f t="shared" ref="C6:C7" si="0">F36</f>
        <v>0</v>
      </c>
      <c r="D6" s="8">
        <f t="shared" ref="D6:D31" si="1">AVERAGE(B6:C6)</f>
        <v>50</v>
      </c>
      <c r="E6" s="22">
        <v>86</v>
      </c>
      <c r="F6" s="39">
        <f t="shared" ref="F6:F31" si="2">F66</f>
        <v>100</v>
      </c>
      <c r="G6" s="8">
        <f t="shared" ref="G6:G7" si="3">AVERAGE(E6:F6)</f>
        <v>93</v>
      </c>
      <c r="H6" s="22">
        <v>98</v>
      </c>
      <c r="I6" s="39">
        <f t="shared" ref="I6:I7" si="4">F96</f>
        <v>100</v>
      </c>
      <c r="J6" s="8">
        <f t="shared" ref="J6:J7" si="5">AVERAGE(H6:I6)</f>
        <v>99</v>
      </c>
      <c r="K6" s="22">
        <v>100</v>
      </c>
      <c r="L6" s="39">
        <f t="shared" ref="L6:L7" si="6">F126</f>
        <v>100</v>
      </c>
      <c r="M6" s="8">
        <f t="shared" ref="M6:M7" si="7">AVERAGE(K6:L6)</f>
        <v>100</v>
      </c>
      <c r="N6" s="9">
        <f t="shared" ref="N6:N31" si="8">AVERAGE(D6,G6,J6,M6)</f>
        <v>85.5</v>
      </c>
      <c r="P6" s="32">
        <v>6</v>
      </c>
    </row>
    <row r="7" spans="1:16" ht="13.15" x14ac:dyDescent="0.4">
      <c r="A7" s="5" t="s">
        <v>83</v>
      </c>
      <c r="B7" s="22">
        <v>0</v>
      </c>
      <c r="C7" s="39">
        <f t="shared" si="0"/>
        <v>0</v>
      </c>
      <c r="D7" s="8">
        <f t="shared" si="1"/>
        <v>0</v>
      </c>
      <c r="E7" s="22">
        <v>0</v>
      </c>
      <c r="F7" s="39">
        <f t="shared" si="2"/>
        <v>0</v>
      </c>
      <c r="G7" s="8">
        <f t="shared" si="3"/>
        <v>0</v>
      </c>
      <c r="H7" s="22">
        <v>0</v>
      </c>
      <c r="I7" s="39">
        <f t="shared" si="4"/>
        <v>0</v>
      </c>
      <c r="J7" s="8">
        <f t="shared" si="5"/>
        <v>0</v>
      </c>
      <c r="K7" s="22">
        <v>0</v>
      </c>
      <c r="L7" s="39">
        <f t="shared" si="6"/>
        <v>100</v>
      </c>
      <c r="M7" s="8">
        <f t="shared" si="7"/>
        <v>50</v>
      </c>
      <c r="N7" s="9">
        <f t="shared" si="8"/>
        <v>12.5</v>
      </c>
      <c r="P7" s="32"/>
    </row>
    <row r="8" spans="1:16" ht="13.15" x14ac:dyDescent="0.4">
      <c r="A8" s="5" t="s">
        <v>84</v>
      </c>
      <c r="B8" s="22">
        <v>96.5</v>
      </c>
      <c r="C8" s="39">
        <f t="shared" ref="C8:C31" si="9">F38</f>
        <v>100</v>
      </c>
      <c r="D8" s="8">
        <f t="shared" si="1"/>
        <v>98.25</v>
      </c>
      <c r="E8" s="22">
        <v>92</v>
      </c>
      <c r="F8" s="39">
        <f t="shared" si="2"/>
        <v>100</v>
      </c>
      <c r="G8" s="8">
        <f t="shared" ref="G8:G31" si="10">AVERAGE(E8:F8)</f>
        <v>96</v>
      </c>
      <c r="H8" s="22">
        <v>86</v>
      </c>
      <c r="I8" s="39">
        <f t="shared" ref="I8:I31" si="11">F98</f>
        <v>98.333333333333329</v>
      </c>
      <c r="J8" s="8">
        <f t="shared" ref="J8:J31" si="12">AVERAGE(H8:I8)</f>
        <v>92.166666666666657</v>
      </c>
      <c r="K8" s="22">
        <v>90</v>
      </c>
      <c r="L8" s="39">
        <f t="shared" ref="L8:L31" si="13">F128</f>
        <v>100</v>
      </c>
      <c r="M8" s="8">
        <f t="shared" ref="M8:M31" si="14">AVERAGE(K8:L8)</f>
        <v>95</v>
      </c>
      <c r="N8" s="9">
        <f t="shared" si="8"/>
        <v>95.354166666666657</v>
      </c>
      <c r="P8" s="32">
        <v>2</v>
      </c>
    </row>
    <row r="9" spans="1:16" ht="13.15" x14ac:dyDescent="0.4">
      <c r="A9" s="5" t="s">
        <v>138</v>
      </c>
      <c r="B9" s="22">
        <v>74</v>
      </c>
      <c r="C9" s="39">
        <f t="shared" si="9"/>
        <v>0</v>
      </c>
      <c r="D9" s="8">
        <f t="shared" si="1"/>
        <v>37</v>
      </c>
      <c r="E9" s="22">
        <v>0</v>
      </c>
      <c r="F9" s="39">
        <f t="shared" si="2"/>
        <v>0</v>
      </c>
      <c r="G9" s="8">
        <f t="shared" si="10"/>
        <v>0</v>
      </c>
      <c r="H9" s="22">
        <v>0</v>
      </c>
      <c r="I9" s="39">
        <f t="shared" si="11"/>
        <v>0</v>
      </c>
      <c r="J9" s="8">
        <f t="shared" si="12"/>
        <v>0</v>
      </c>
      <c r="K9" s="22">
        <v>0</v>
      </c>
      <c r="L9" s="39">
        <f t="shared" si="13"/>
        <v>0</v>
      </c>
      <c r="M9" s="8">
        <f t="shared" si="14"/>
        <v>0</v>
      </c>
      <c r="N9" s="9">
        <f t="shared" si="8"/>
        <v>9.25</v>
      </c>
      <c r="P9" s="32">
        <v>3</v>
      </c>
    </row>
    <row r="10" spans="1:16" ht="13.15" x14ac:dyDescent="0.4">
      <c r="A10" s="5" t="s">
        <v>85</v>
      </c>
      <c r="B10" s="22">
        <v>100</v>
      </c>
      <c r="C10" s="39">
        <f t="shared" si="9"/>
        <v>0</v>
      </c>
      <c r="D10" s="8">
        <f t="shared" si="1"/>
        <v>50</v>
      </c>
      <c r="E10" s="22">
        <v>84</v>
      </c>
      <c r="F10" s="39">
        <f t="shared" si="2"/>
        <v>100</v>
      </c>
      <c r="G10" s="8">
        <f t="shared" si="10"/>
        <v>92</v>
      </c>
      <c r="H10" s="22">
        <v>97</v>
      </c>
      <c r="I10" s="39">
        <f t="shared" si="11"/>
        <v>100</v>
      </c>
      <c r="J10" s="8">
        <f t="shared" si="12"/>
        <v>98.5</v>
      </c>
      <c r="K10" s="22">
        <v>90</v>
      </c>
      <c r="L10" s="39">
        <f t="shared" si="13"/>
        <v>100</v>
      </c>
      <c r="M10" s="8">
        <f t="shared" si="14"/>
        <v>95</v>
      </c>
      <c r="N10" s="9">
        <f t="shared" si="8"/>
        <v>83.875</v>
      </c>
      <c r="P10" s="32">
        <v>5</v>
      </c>
    </row>
    <row r="11" spans="1:16" ht="13.15" x14ac:dyDescent="0.4">
      <c r="A11" s="5" t="s">
        <v>86</v>
      </c>
      <c r="B11" s="22">
        <v>100</v>
      </c>
      <c r="C11" s="39">
        <f t="shared" si="9"/>
        <v>100</v>
      </c>
      <c r="D11" s="8">
        <f t="shared" si="1"/>
        <v>100</v>
      </c>
      <c r="E11" s="22">
        <v>84</v>
      </c>
      <c r="F11" s="39">
        <f t="shared" si="2"/>
        <v>100</v>
      </c>
      <c r="G11" s="8">
        <f t="shared" si="10"/>
        <v>92</v>
      </c>
      <c r="H11" s="22">
        <v>91</v>
      </c>
      <c r="I11" s="39">
        <f t="shared" si="11"/>
        <v>100</v>
      </c>
      <c r="J11" s="8">
        <f t="shared" si="12"/>
        <v>95.5</v>
      </c>
      <c r="K11" s="22">
        <v>100</v>
      </c>
      <c r="L11" s="39">
        <f t="shared" si="13"/>
        <v>100</v>
      </c>
      <c r="M11" s="8">
        <f t="shared" si="14"/>
        <v>100</v>
      </c>
      <c r="N11" s="9">
        <f t="shared" si="8"/>
        <v>96.875</v>
      </c>
      <c r="P11" s="32">
        <v>1</v>
      </c>
    </row>
    <row r="12" spans="1:16" ht="13.15" x14ac:dyDescent="0.4">
      <c r="A12" s="5" t="s">
        <v>87</v>
      </c>
      <c r="B12" s="22">
        <v>100</v>
      </c>
      <c r="C12" s="39">
        <f t="shared" si="9"/>
        <v>0</v>
      </c>
      <c r="D12" s="8">
        <f t="shared" si="1"/>
        <v>50</v>
      </c>
      <c r="E12" s="22">
        <v>76</v>
      </c>
      <c r="F12" s="39">
        <f t="shared" si="2"/>
        <v>100</v>
      </c>
      <c r="G12" s="8">
        <f t="shared" si="10"/>
        <v>88</v>
      </c>
      <c r="H12" s="22">
        <v>85</v>
      </c>
      <c r="I12" s="39">
        <f t="shared" si="11"/>
        <v>100</v>
      </c>
      <c r="J12" s="8">
        <f t="shared" si="12"/>
        <v>92.5</v>
      </c>
      <c r="K12" s="22">
        <v>85</v>
      </c>
      <c r="L12" s="39">
        <f t="shared" si="13"/>
        <v>100</v>
      </c>
      <c r="M12" s="8">
        <f t="shared" si="14"/>
        <v>92.5</v>
      </c>
      <c r="N12" s="9">
        <f t="shared" si="8"/>
        <v>80.75</v>
      </c>
      <c r="P12" s="32">
        <v>7</v>
      </c>
    </row>
    <row r="13" spans="1:16" ht="13.15" x14ac:dyDescent="0.4">
      <c r="A13" s="5" t="s">
        <v>88</v>
      </c>
      <c r="B13" s="22">
        <v>100</v>
      </c>
      <c r="C13" s="39">
        <f t="shared" si="9"/>
        <v>100</v>
      </c>
      <c r="D13" s="8">
        <f t="shared" si="1"/>
        <v>100</v>
      </c>
      <c r="E13" s="22">
        <v>84</v>
      </c>
      <c r="F13" s="39">
        <f t="shared" si="2"/>
        <v>100</v>
      </c>
      <c r="G13" s="8">
        <f t="shared" si="10"/>
        <v>92</v>
      </c>
      <c r="H13" s="22">
        <v>91</v>
      </c>
      <c r="I13" s="39">
        <f t="shared" si="11"/>
        <v>100</v>
      </c>
      <c r="J13" s="8">
        <f t="shared" si="12"/>
        <v>95.5</v>
      </c>
      <c r="K13" s="22">
        <v>100</v>
      </c>
      <c r="L13" s="39">
        <f t="shared" si="13"/>
        <v>100</v>
      </c>
      <c r="M13" s="8">
        <f t="shared" si="14"/>
        <v>100</v>
      </c>
      <c r="N13" s="9">
        <f t="shared" si="8"/>
        <v>96.875</v>
      </c>
      <c r="P13" s="32">
        <v>1</v>
      </c>
    </row>
    <row r="14" spans="1:16" ht="13.15" x14ac:dyDescent="0.4">
      <c r="A14" s="5" t="s">
        <v>139</v>
      </c>
      <c r="B14" s="22">
        <v>95</v>
      </c>
      <c r="C14" s="39">
        <f t="shared" si="9"/>
        <v>0</v>
      </c>
      <c r="D14" s="8">
        <f t="shared" si="1"/>
        <v>47.5</v>
      </c>
      <c r="E14" s="22">
        <v>82</v>
      </c>
      <c r="F14" s="39">
        <f t="shared" si="2"/>
        <v>100</v>
      </c>
      <c r="G14" s="8">
        <f t="shared" si="10"/>
        <v>91</v>
      </c>
      <c r="H14" s="22">
        <v>50</v>
      </c>
      <c r="I14" s="39">
        <f t="shared" si="11"/>
        <v>100</v>
      </c>
      <c r="J14" s="8">
        <f t="shared" si="12"/>
        <v>75</v>
      </c>
      <c r="K14" s="22">
        <v>90</v>
      </c>
      <c r="L14" s="39">
        <f t="shared" si="13"/>
        <v>100</v>
      </c>
      <c r="M14" s="8">
        <f t="shared" si="14"/>
        <v>95</v>
      </c>
      <c r="N14" s="9">
        <f t="shared" si="8"/>
        <v>77.125</v>
      </c>
      <c r="P14" s="32">
        <v>4</v>
      </c>
    </row>
    <row r="15" spans="1:16" ht="13.15" x14ac:dyDescent="0.4">
      <c r="A15" s="5" t="s">
        <v>89</v>
      </c>
      <c r="B15" s="22">
        <v>100</v>
      </c>
      <c r="C15" s="39">
        <f t="shared" si="9"/>
        <v>0</v>
      </c>
      <c r="D15" s="8">
        <f t="shared" si="1"/>
        <v>50</v>
      </c>
      <c r="E15" s="22">
        <v>86</v>
      </c>
      <c r="F15" s="39">
        <f t="shared" si="2"/>
        <v>100</v>
      </c>
      <c r="G15" s="8">
        <f t="shared" si="10"/>
        <v>93</v>
      </c>
      <c r="H15" s="22">
        <v>98</v>
      </c>
      <c r="I15" s="39">
        <f t="shared" si="11"/>
        <v>100</v>
      </c>
      <c r="J15" s="8">
        <f t="shared" si="12"/>
        <v>99</v>
      </c>
      <c r="K15" s="22">
        <v>100</v>
      </c>
      <c r="L15" s="39">
        <f t="shared" si="13"/>
        <v>100</v>
      </c>
      <c r="M15" s="8">
        <f t="shared" si="14"/>
        <v>100</v>
      </c>
      <c r="N15" s="9">
        <f t="shared" si="8"/>
        <v>85.5</v>
      </c>
      <c r="P15" s="32">
        <v>6</v>
      </c>
    </row>
    <row r="16" spans="1:16" ht="13.15" x14ac:dyDescent="0.4">
      <c r="A16" s="5" t="s">
        <v>90</v>
      </c>
      <c r="B16" s="22">
        <v>95</v>
      </c>
      <c r="C16" s="39">
        <f t="shared" si="9"/>
        <v>0</v>
      </c>
      <c r="D16" s="8">
        <f t="shared" si="1"/>
        <v>47.5</v>
      </c>
      <c r="E16" s="22">
        <v>82</v>
      </c>
      <c r="F16" s="39">
        <f t="shared" si="2"/>
        <v>100</v>
      </c>
      <c r="G16" s="8">
        <f t="shared" si="10"/>
        <v>91</v>
      </c>
      <c r="H16" s="22">
        <v>50</v>
      </c>
      <c r="I16" s="39">
        <f t="shared" si="11"/>
        <v>100</v>
      </c>
      <c r="J16" s="8">
        <f t="shared" si="12"/>
        <v>75</v>
      </c>
      <c r="K16" s="22">
        <v>90</v>
      </c>
      <c r="L16" s="39">
        <f t="shared" si="13"/>
        <v>100</v>
      </c>
      <c r="M16" s="8">
        <f t="shared" si="14"/>
        <v>95</v>
      </c>
      <c r="N16" s="9">
        <f t="shared" si="8"/>
        <v>77.125</v>
      </c>
      <c r="P16" s="32">
        <v>4</v>
      </c>
    </row>
    <row r="17" spans="1:16" ht="13.15" x14ac:dyDescent="0.4">
      <c r="A17" s="5" t="s">
        <v>91</v>
      </c>
      <c r="B17" s="22">
        <v>100</v>
      </c>
      <c r="C17" s="39">
        <f t="shared" si="9"/>
        <v>0</v>
      </c>
      <c r="D17" s="8">
        <f t="shared" si="1"/>
        <v>50</v>
      </c>
      <c r="E17" s="22">
        <v>86</v>
      </c>
      <c r="F17" s="39">
        <f t="shared" si="2"/>
        <v>100</v>
      </c>
      <c r="G17" s="8">
        <f t="shared" si="10"/>
        <v>93</v>
      </c>
      <c r="H17" s="22">
        <v>98</v>
      </c>
      <c r="I17" s="39">
        <f t="shared" si="11"/>
        <v>100</v>
      </c>
      <c r="J17" s="8">
        <f t="shared" si="12"/>
        <v>99</v>
      </c>
      <c r="K17" s="22">
        <v>100</v>
      </c>
      <c r="L17" s="39">
        <f t="shared" si="13"/>
        <v>100</v>
      </c>
      <c r="M17" s="8">
        <f t="shared" si="14"/>
        <v>100</v>
      </c>
      <c r="N17" s="9">
        <f t="shared" si="8"/>
        <v>85.5</v>
      </c>
      <c r="P17" s="32">
        <v>6</v>
      </c>
    </row>
    <row r="18" spans="1:16" ht="13.15" x14ac:dyDescent="0.4">
      <c r="A18" s="5" t="s">
        <v>92</v>
      </c>
      <c r="B18" s="22">
        <v>100</v>
      </c>
      <c r="C18" s="39">
        <f t="shared" si="9"/>
        <v>0</v>
      </c>
      <c r="D18" s="8">
        <f t="shared" si="1"/>
        <v>50</v>
      </c>
      <c r="E18" s="22">
        <v>76</v>
      </c>
      <c r="F18" s="39">
        <f t="shared" si="2"/>
        <v>100</v>
      </c>
      <c r="G18" s="8">
        <f t="shared" si="10"/>
        <v>88</v>
      </c>
      <c r="H18" s="22">
        <v>85</v>
      </c>
      <c r="I18" s="39">
        <f t="shared" si="11"/>
        <v>100</v>
      </c>
      <c r="J18" s="8">
        <f t="shared" si="12"/>
        <v>92.5</v>
      </c>
      <c r="K18" s="22">
        <v>85</v>
      </c>
      <c r="L18" s="39">
        <f t="shared" si="13"/>
        <v>100</v>
      </c>
      <c r="M18" s="8">
        <f t="shared" si="14"/>
        <v>92.5</v>
      </c>
      <c r="N18" s="9">
        <f t="shared" si="8"/>
        <v>80.75</v>
      </c>
      <c r="P18" s="32">
        <v>7</v>
      </c>
    </row>
    <row r="19" spans="1:16" ht="13.15" x14ac:dyDescent="0.4">
      <c r="A19" s="5" t="s">
        <v>93</v>
      </c>
      <c r="B19" s="22">
        <v>100</v>
      </c>
      <c r="C19" s="39">
        <f t="shared" si="9"/>
        <v>100</v>
      </c>
      <c r="D19" s="8">
        <f t="shared" si="1"/>
        <v>100</v>
      </c>
      <c r="E19" s="22">
        <v>84</v>
      </c>
      <c r="F19" s="39">
        <f t="shared" si="2"/>
        <v>99.166666666666671</v>
      </c>
      <c r="G19" s="8">
        <f t="shared" si="10"/>
        <v>91.583333333333343</v>
      </c>
      <c r="H19" s="22">
        <v>91</v>
      </c>
      <c r="I19" s="39">
        <f t="shared" si="11"/>
        <v>100</v>
      </c>
      <c r="J19" s="8">
        <f t="shared" si="12"/>
        <v>95.5</v>
      </c>
      <c r="K19" s="22">
        <v>100</v>
      </c>
      <c r="L19" s="39">
        <f t="shared" si="13"/>
        <v>100</v>
      </c>
      <c r="M19" s="8">
        <f t="shared" si="14"/>
        <v>100</v>
      </c>
      <c r="N19" s="9">
        <f t="shared" si="8"/>
        <v>96.770833333333343</v>
      </c>
      <c r="P19" s="32">
        <v>1</v>
      </c>
    </row>
    <row r="20" spans="1:16" ht="13.15" x14ac:dyDescent="0.4">
      <c r="A20" s="5" t="s">
        <v>94</v>
      </c>
      <c r="B20" s="22">
        <v>96.5</v>
      </c>
      <c r="C20" s="39">
        <f t="shared" si="9"/>
        <v>99.166666666666671</v>
      </c>
      <c r="D20" s="8">
        <f t="shared" si="1"/>
        <v>97.833333333333343</v>
      </c>
      <c r="E20" s="22">
        <v>92</v>
      </c>
      <c r="F20" s="39">
        <f t="shared" si="2"/>
        <v>98.333333333333329</v>
      </c>
      <c r="G20" s="8">
        <f t="shared" si="10"/>
        <v>95.166666666666657</v>
      </c>
      <c r="H20" s="22">
        <v>86</v>
      </c>
      <c r="I20" s="39">
        <f t="shared" si="11"/>
        <v>100</v>
      </c>
      <c r="J20" s="8">
        <f t="shared" si="12"/>
        <v>93</v>
      </c>
      <c r="K20" s="22">
        <v>90</v>
      </c>
      <c r="L20" s="39">
        <f t="shared" si="13"/>
        <v>100</v>
      </c>
      <c r="M20" s="8">
        <f t="shared" si="14"/>
        <v>95</v>
      </c>
      <c r="N20" s="9">
        <f t="shared" si="8"/>
        <v>95.25</v>
      </c>
      <c r="P20" s="32">
        <v>2</v>
      </c>
    </row>
    <row r="21" spans="1:16" ht="13.15" x14ac:dyDescent="0.4">
      <c r="A21" s="5" t="s">
        <v>140</v>
      </c>
      <c r="B21" s="22">
        <v>100</v>
      </c>
      <c r="C21" s="39">
        <f t="shared" si="9"/>
        <v>0</v>
      </c>
      <c r="D21" s="8">
        <f t="shared" si="1"/>
        <v>50</v>
      </c>
      <c r="E21" s="22">
        <v>76</v>
      </c>
      <c r="F21" s="39">
        <f t="shared" si="2"/>
        <v>100</v>
      </c>
      <c r="G21" s="8">
        <f t="shared" si="10"/>
        <v>88</v>
      </c>
      <c r="H21" s="22">
        <v>85</v>
      </c>
      <c r="I21" s="39">
        <f t="shared" si="11"/>
        <v>100</v>
      </c>
      <c r="J21" s="8">
        <f t="shared" si="12"/>
        <v>92.5</v>
      </c>
      <c r="K21" s="22">
        <v>85</v>
      </c>
      <c r="L21" s="39">
        <f t="shared" si="13"/>
        <v>100</v>
      </c>
      <c r="M21" s="8">
        <f t="shared" si="14"/>
        <v>92.5</v>
      </c>
      <c r="N21" s="9">
        <f t="shared" si="8"/>
        <v>80.75</v>
      </c>
      <c r="P21" s="32">
        <v>7</v>
      </c>
    </row>
    <row r="22" spans="1:16" ht="13.15" x14ac:dyDescent="0.4">
      <c r="A22" s="5" t="s">
        <v>95</v>
      </c>
      <c r="B22" s="22">
        <v>96.5</v>
      </c>
      <c r="C22" s="39">
        <f t="shared" si="9"/>
        <v>100</v>
      </c>
      <c r="D22" s="8">
        <f t="shared" si="1"/>
        <v>98.25</v>
      </c>
      <c r="E22" s="22">
        <v>92</v>
      </c>
      <c r="F22" s="39">
        <f t="shared" si="2"/>
        <v>100</v>
      </c>
      <c r="G22" s="8">
        <f t="shared" si="10"/>
        <v>96</v>
      </c>
      <c r="H22" s="22">
        <v>86</v>
      </c>
      <c r="I22" s="39">
        <f t="shared" si="11"/>
        <v>100</v>
      </c>
      <c r="J22" s="8">
        <f t="shared" si="12"/>
        <v>93</v>
      </c>
      <c r="K22" s="22">
        <v>90</v>
      </c>
      <c r="L22" s="39">
        <f t="shared" si="13"/>
        <v>100</v>
      </c>
      <c r="M22" s="8">
        <f t="shared" si="14"/>
        <v>95</v>
      </c>
      <c r="N22" s="9">
        <f t="shared" si="8"/>
        <v>95.5625</v>
      </c>
      <c r="P22" s="32">
        <v>2</v>
      </c>
    </row>
    <row r="23" spans="1:16" ht="13.15" x14ac:dyDescent="0.4">
      <c r="A23" s="5" t="s">
        <v>96</v>
      </c>
      <c r="B23" s="22">
        <v>96.5</v>
      </c>
      <c r="C23" s="39">
        <f t="shared" si="9"/>
        <v>100</v>
      </c>
      <c r="D23" s="8">
        <f t="shared" si="1"/>
        <v>98.25</v>
      </c>
      <c r="E23" s="22">
        <v>92</v>
      </c>
      <c r="F23" s="39">
        <f t="shared" si="2"/>
        <v>100</v>
      </c>
      <c r="G23" s="8">
        <f t="shared" si="10"/>
        <v>96</v>
      </c>
      <c r="H23" s="22">
        <v>86</v>
      </c>
      <c r="I23" s="39">
        <f t="shared" si="11"/>
        <v>100</v>
      </c>
      <c r="J23" s="8">
        <f t="shared" si="12"/>
        <v>93</v>
      </c>
      <c r="K23" s="22">
        <v>90</v>
      </c>
      <c r="L23" s="39">
        <f t="shared" si="13"/>
        <v>100</v>
      </c>
      <c r="M23" s="8">
        <f t="shared" si="14"/>
        <v>95</v>
      </c>
      <c r="N23" s="9">
        <f t="shared" si="8"/>
        <v>95.5625</v>
      </c>
      <c r="P23" s="32">
        <v>2</v>
      </c>
    </row>
    <row r="24" spans="1:16" ht="13.15" x14ac:dyDescent="0.4">
      <c r="A24" s="5" t="s">
        <v>141</v>
      </c>
      <c r="B24" s="22">
        <v>0</v>
      </c>
      <c r="C24" s="39">
        <f t="shared" si="9"/>
        <v>0</v>
      </c>
      <c r="D24" s="8">
        <f t="shared" si="1"/>
        <v>0</v>
      </c>
      <c r="E24" s="22">
        <v>0</v>
      </c>
      <c r="F24" s="39">
        <f t="shared" si="2"/>
        <v>0</v>
      </c>
      <c r="G24" s="8">
        <f t="shared" si="10"/>
        <v>0</v>
      </c>
      <c r="H24" s="22">
        <v>0</v>
      </c>
      <c r="I24" s="39">
        <f t="shared" si="11"/>
        <v>0</v>
      </c>
      <c r="J24" s="8">
        <f t="shared" si="12"/>
        <v>0</v>
      </c>
      <c r="K24" s="22">
        <v>0</v>
      </c>
      <c r="L24" s="39">
        <f t="shared" si="13"/>
        <v>0</v>
      </c>
      <c r="M24" s="8">
        <f t="shared" si="14"/>
        <v>0</v>
      </c>
      <c r="N24" s="9">
        <f t="shared" si="8"/>
        <v>0</v>
      </c>
      <c r="P24" s="32"/>
    </row>
    <row r="25" spans="1:16" ht="13.15" x14ac:dyDescent="0.4">
      <c r="A25" s="5" t="s">
        <v>142</v>
      </c>
      <c r="B25" s="22">
        <v>74</v>
      </c>
      <c r="C25" s="39">
        <f t="shared" si="9"/>
        <v>0</v>
      </c>
      <c r="D25" s="8">
        <f t="shared" si="1"/>
        <v>37</v>
      </c>
      <c r="E25" s="22">
        <v>0</v>
      </c>
      <c r="F25" s="39">
        <f t="shared" si="2"/>
        <v>0</v>
      </c>
      <c r="G25" s="8">
        <f t="shared" si="10"/>
        <v>0</v>
      </c>
      <c r="H25" s="22">
        <v>0</v>
      </c>
      <c r="I25" s="39">
        <f t="shared" si="11"/>
        <v>0</v>
      </c>
      <c r="J25" s="8">
        <f t="shared" si="12"/>
        <v>0</v>
      </c>
      <c r="K25" s="22">
        <v>0</v>
      </c>
      <c r="L25" s="39">
        <f t="shared" si="13"/>
        <v>0</v>
      </c>
      <c r="M25" s="8">
        <f t="shared" si="14"/>
        <v>0</v>
      </c>
      <c r="N25" s="9">
        <f t="shared" si="8"/>
        <v>9.25</v>
      </c>
      <c r="P25" s="32">
        <v>3</v>
      </c>
    </row>
    <row r="26" spans="1:16" ht="13.15" x14ac:dyDescent="0.4">
      <c r="A26" s="5" t="s">
        <v>143</v>
      </c>
      <c r="B26" s="22">
        <v>74</v>
      </c>
      <c r="C26" s="39">
        <f t="shared" si="9"/>
        <v>0</v>
      </c>
      <c r="D26" s="8">
        <f t="shared" si="1"/>
        <v>37</v>
      </c>
      <c r="E26" s="22">
        <v>0</v>
      </c>
      <c r="F26" s="39">
        <f t="shared" si="2"/>
        <v>0</v>
      </c>
      <c r="G26" s="8">
        <f t="shared" si="10"/>
        <v>0</v>
      </c>
      <c r="H26" s="22">
        <v>0</v>
      </c>
      <c r="I26" s="39">
        <f t="shared" si="11"/>
        <v>0</v>
      </c>
      <c r="J26" s="8">
        <f t="shared" si="12"/>
        <v>0</v>
      </c>
      <c r="K26" s="22">
        <v>0</v>
      </c>
      <c r="L26" s="39">
        <f t="shared" si="13"/>
        <v>0</v>
      </c>
      <c r="M26" s="8">
        <f t="shared" si="14"/>
        <v>0</v>
      </c>
      <c r="N26" s="9">
        <f t="shared" si="8"/>
        <v>9.25</v>
      </c>
      <c r="P26" s="32">
        <v>3</v>
      </c>
    </row>
    <row r="27" spans="1:16" ht="13.15" x14ac:dyDescent="0.4">
      <c r="A27" s="5" t="s">
        <v>97</v>
      </c>
      <c r="B27" s="22">
        <v>100</v>
      </c>
      <c r="C27" s="39">
        <f t="shared" si="9"/>
        <v>100</v>
      </c>
      <c r="D27" s="8">
        <f t="shared" si="1"/>
        <v>100</v>
      </c>
      <c r="E27" s="22">
        <v>84</v>
      </c>
      <c r="F27" s="39">
        <f t="shared" si="2"/>
        <v>100</v>
      </c>
      <c r="G27" s="8">
        <f t="shared" si="10"/>
        <v>92</v>
      </c>
      <c r="H27" s="22">
        <v>91</v>
      </c>
      <c r="I27" s="39">
        <f t="shared" si="11"/>
        <v>100</v>
      </c>
      <c r="J27" s="8">
        <f t="shared" si="12"/>
        <v>95.5</v>
      </c>
      <c r="K27" s="22">
        <v>100</v>
      </c>
      <c r="L27" s="39">
        <f t="shared" si="13"/>
        <v>100</v>
      </c>
      <c r="M27" s="8">
        <f t="shared" si="14"/>
        <v>100</v>
      </c>
      <c r="N27" s="9">
        <f t="shared" si="8"/>
        <v>96.875</v>
      </c>
      <c r="P27" s="32">
        <v>1</v>
      </c>
    </row>
    <row r="28" spans="1:16" ht="13.15" x14ac:dyDescent="0.4">
      <c r="A28" s="5" t="s">
        <v>98</v>
      </c>
      <c r="B28" s="22">
        <v>100</v>
      </c>
      <c r="C28" s="39">
        <f t="shared" si="9"/>
        <v>0</v>
      </c>
      <c r="D28" s="8">
        <f t="shared" si="1"/>
        <v>50</v>
      </c>
      <c r="E28" s="22">
        <v>84</v>
      </c>
      <c r="F28" s="39">
        <f t="shared" si="2"/>
        <v>100</v>
      </c>
      <c r="G28" s="8">
        <f t="shared" si="10"/>
        <v>92</v>
      </c>
      <c r="H28" s="22">
        <v>97</v>
      </c>
      <c r="I28" s="39">
        <f t="shared" si="11"/>
        <v>100</v>
      </c>
      <c r="J28" s="8">
        <f t="shared" si="12"/>
        <v>98.5</v>
      </c>
      <c r="K28" s="22">
        <v>90</v>
      </c>
      <c r="L28" s="39">
        <f t="shared" si="13"/>
        <v>100</v>
      </c>
      <c r="M28" s="8">
        <f t="shared" si="14"/>
        <v>95</v>
      </c>
      <c r="N28" s="9">
        <f t="shared" si="8"/>
        <v>83.875</v>
      </c>
      <c r="P28" s="32">
        <v>5</v>
      </c>
    </row>
    <row r="29" spans="1:16" ht="13.15" x14ac:dyDescent="0.4">
      <c r="A29" s="5" t="s">
        <v>144</v>
      </c>
      <c r="B29" s="22">
        <v>95</v>
      </c>
      <c r="C29" s="39">
        <f t="shared" si="9"/>
        <v>0</v>
      </c>
      <c r="D29" s="8">
        <f t="shared" si="1"/>
        <v>47.5</v>
      </c>
      <c r="E29" s="22">
        <v>82</v>
      </c>
      <c r="F29" s="39">
        <f t="shared" si="2"/>
        <v>100</v>
      </c>
      <c r="G29" s="8">
        <f t="shared" si="10"/>
        <v>91</v>
      </c>
      <c r="H29" s="22">
        <v>50</v>
      </c>
      <c r="I29" s="39">
        <f t="shared" si="11"/>
        <v>100</v>
      </c>
      <c r="J29" s="8">
        <f t="shared" si="12"/>
        <v>75</v>
      </c>
      <c r="K29" s="22">
        <v>90</v>
      </c>
      <c r="L29" s="39">
        <f t="shared" si="13"/>
        <v>100</v>
      </c>
      <c r="M29" s="8">
        <f t="shared" si="14"/>
        <v>95</v>
      </c>
      <c r="N29" s="9">
        <f t="shared" si="8"/>
        <v>77.125</v>
      </c>
      <c r="P29" s="32">
        <v>4</v>
      </c>
    </row>
    <row r="30" spans="1:16" ht="13.15" x14ac:dyDescent="0.4">
      <c r="A30" s="5" t="s">
        <v>99</v>
      </c>
      <c r="B30" s="22">
        <v>100</v>
      </c>
      <c r="C30" s="39">
        <f t="shared" si="9"/>
        <v>0</v>
      </c>
      <c r="D30" s="8">
        <f t="shared" si="1"/>
        <v>50</v>
      </c>
      <c r="E30" s="22">
        <v>76</v>
      </c>
      <c r="F30" s="39">
        <f t="shared" si="2"/>
        <v>100</v>
      </c>
      <c r="G30" s="8">
        <f t="shared" si="10"/>
        <v>88</v>
      </c>
      <c r="H30" s="22">
        <v>85</v>
      </c>
      <c r="I30" s="39">
        <f t="shared" si="11"/>
        <v>100</v>
      </c>
      <c r="J30" s="8">
        <f t="shared" si="12"/>
        <v>92.5</v>
      </c>
      <c r="K30" s="22">
        <v>85</v>
      </c>
      <c r="L30" s="39">
        <f t="shared" si="13"/>
        <v>100</v>
      </c>
      <c r="M30" s="8">
        <f t="shared" si="14"/>
        <v>92.5</v>
      </c>
      <c r="N30" s="9">
        <f t="shared" si="8"/>
        <v>80.75</v>
      </c>
      <c r="P30" s="32">
        <v>7</v>
      </c>
    </row>
    <row r="31" spans="1:16" ht="13.15" x14ac:dyDescent="0.4">
      <c r="A31" s="5" t="s">
        <v>100</v>
      </c>
      <c r="B31" s="22">
        <v>100</v>
      </c>
      <c r="C31" s="39">
        <f t="shared" si="9"/>
        <v>0</v>
      </c>
      <c r="D31" s="8">
        <f t="shared" si="1"/>
        <v>50</v>
      </c>
      <c r="E31" s="22">
        <v>86</v>
      </c>
      <c r="F31" s="39">
        <f t="shared" si="2"/>
        <v>100</v>
      </c>
      <c r="G31" s="8">
        <f t="shared" si="10"/>
        <v>93</v>
      </c>
      <c r="H31" s="22">
        <v>98</v>
      </c>
      <c r="I31" s="39">
        <f t="shared" si="11"/>
        <v>100</v>
      </c>
      <c r="J31" s="8">
        <f t="shared" si="12"/>
        <v>99</v>
      </c>
      <c r="K31" s="22">
        <v>100</v>
      </c>
      <c r="L31" s="39">
        <f t="shared" si="13"/>
        <v>100</v>
      </c>
      <c r="M31" s="8">
        <f t="shared" si="14"/>
        <v>100</v>
      </c>
      <c r="N31" s="9">
        <f t="shared" si="8"/>
        <v>85.5</v>
      </c>
      <c r="P31" s="32">
        <v>6</v>
      </c>
    </row>
    <row r="32" spans="1:16" ht="13.15" x14ac:dyDescent="0.35">
      <c r="P32" s="48"/>
    </row>
    <row r="33" spans="1:8" x14ac:dyDescent="0.35">
      <c r="A33" s="72" t="s">
        <v>68</v>
      </c>
      <c r="B33" s="72"/>
      <c r="C33" s="72"/>
      <c r="D33" s="72"/>
      <c r="E33" s="72"/>
      <c r="F33" s="72"/>
    </row>
    <row r="34" spans="1:8" x14ac:dyDescent="0.35">
      <c r="A34" s="33"/>
      <c r="B34" s="34" t="s">
        <v>37</v>
      </c>
      <c r="C34" s="34" t="s">
        <v>38</v>
      </c>
      <c r="D34" s="34" t="s">
        <v>42</v>
      </c>
      <c r="E34" s="35" t="s">
        <v>40</v>
      </c>
      <c r="F34" s="35" t="s">
        <v>18</v>
      </c>
    </row>
    <row r="35" spans="1:8" ht="13.15" x14ac:dyDescent="0.4">
      <c r="A35" s="5" t="s">
        <v>81</v>
      </c>
      <c r="B35" s="22">
        <v>0</v>
      </c>
      <c r="C35" s="22">
        <v>0</v>
      </c>
      <c r="D35" s="22">
        <v>0</v>
      </c>
      <c r="E35" s="22">
        <v>0</v>
      </c>
      <c r="F35" s="37">
        <f>AVERAGE(B35:E35)</f>
        <v>0</v>
      </c>
      <c r="H35" s="32">
        <v>5</v>
      </c>
    </row>
    <row r="36" spans="1:8" ht="13.15" x14ac:dyDescent="0.4">
      <c r="A36" s="5" t="s">
        <v>82</v>
      </c>
      <c r="B36" s="22">
        <v>0</v>
      </c>
      <c r="C36" s="22">
        <v>0</v>
      </c>
      <c r="D36" s="22">
        <v>0</v>
      </c>
      <c r="E36" s="22">
        <v>0</v>
      </c>
      <c r="F36" s="37">
        <f t="shared" ref="F36:F54" si="15">AVERAGE(B36:E36)</f>
        <v>0</v>
      </c>
      <c r="H36" s="32">
        <v>6</v>
      </c>
    </row>
    <row r="37" spans="1:8" ht="13.15" x14ac:dyDescent="0.4">
      <c r="A37" s="5" t="s">
        <v>83</v>
      </c>
      <c r="B37" s="22">
        <v>0</v>
      </c>
      <c r="C37" s="22">
        <v>0</v>
      </c>
      <c r="D37" s="22">
        <v>0</v>
      </c>
      <c r="E37" s="22">
        <v>0</v>
      </c>
      <c r="F37" s="37">
        <f t="shared" si="15"/>
        <v>0</v>
      </c>
      <c r="H37" s="32"/>
    </row>
    <row r="38" spans="1:8" ht="13.15" x14ac:dyDescent="0.4">
      <c r="A38" s="5" t="s">
        <v>84</v>
      </c>
      <c r="B38" s="22">
        <v>100</v>
      </c>
      <c r="C38" s="22">
        <v>100</v>
      </c>
      <c r="D38" s="22">
        <v>100</v>
      </c>
      <c r="E38" s="22">
        <v>100</v>
      </c>
      <c r="F38" s="37">
        <f t="shared" si="15"/>
        <v>100</v>
      </c>
      <c r="H38" s="32">
        <v>2</v>
      </c>
    </row>
    <row r="39" spans="1:8" ht="13.15" x14ac:dyDescent="0.4">
      <c r="A39" s="5" t="s">
        <v>138</v>
      </c>
      <c r="B39" s="22">
        <v>0</v>
      </c>
      <c r="C39" s="22">
        <v>0</v>
      </c>
      <c r="D39" s="22">
        <v>0</v>
      </c>
      <c r="E39" s="22">
        <v>0</v>
      </c>
      <c r="F39" s="37">
        <f t="shared" si="15"/>
        <v>0</v>
      </c>
      <c r="H39" s="32">
        <v>3</v>
      </c>
    </row>
    <row r="40" spans="1:8" ht="13.15" x14ac:dyDescent="0.4">
      <c r="A40" s="5" t="s">
        <v>85</v>
      </c>
      <c r="B40" s="22">
        <v>0</v>
      </c>
      <c r="C40" s="22">
        <v>0</v>
      </c>
      <c r="D40" s="22">
        <v>0</v>
      </c>
      <c r="E40" s="22">
        <v>0</v>
      </c>
      <c r="F40" s="37">
        <f t="shared" si="15"/>
        <v>0</v>
      </c>
      <c r="H40" s="32">
        <v>5</v>
      </c>
    </row>
    <row r="41" spans="1:8" ht="13.15" x14ac:dyDescent="0.4">
      <c r="A41" s="5" t="s">
        <v>86</v>
      </c>
      <c r="B41" s="22">
        <v>100</v>
      </c>
      <c r="C41" s="22">
        <v>100</v>
      </c>
      <c r="D41" s="22">
        <v>100</v>
      </c>
      <c r="E41" s="22">
        <v>100</v>
      </c>
      <c r="F41" s="37">
        <f t="shared" si="15"/>
        <v>100</v>
      </c>
      <c r="H41" s="32">
        <v>1</v>
      </c>
    </row>
    <row r="42" spans="1:8" ht="13.15" x14ac:dyDescent="0.4">
      <c r="A42" s="5" t="s">
        <v>87</v>
      </c>
      <c r="B42" s="22">
        <v>0</v>
      </c>
      <c r="C42" s="22">
        <v>0</v>
      </c>
      <c r="D42" s="22">
        <v>0</v>
      </c>
      <c r="E42" s="22">
        <v>0</v>
      </c>
      <c r="F42" s="37">
        <f t="shared" si="15"/>
        <v>0</v>
      </c>
      <c r="H42" s="32">
        <v>7</v>
      </c>
    </row>
    <row r="43" spans="1:8" ht="13.15" x14ac:dyDescent="0.4">
      <c r="A43" s="5" t="s">
        <v>88</v>
      </c>
      <c r="B43" s="22">
        <v>100</v>
      </c>
      <c r="C43" s="22">
        <v>100</v>
      </c>
      <c r="D43" s="22">
        <v>100</v>
      </c>
      <c r="E43" s="22">
        <v>100</v>
      </c>
      <c r="F43" s="37">
        <f t="shared" si="15"/>
        <v>100</v>
      </c>
      <c r="H43" s="32">
        <v>1</v>
      </c>
    </row>
    <row r="44" spans="1:8" ht="13.15" x14ac:dyDescent="0.4">
      <c r="A44" s="5" t="s">
        <v>139</v>
      </c>
      <c r="B44" s="22">
        <v>0</v>
      </c>
      <c r="C44" s="22">
        <v>0</v>
      </c>
      <c r="D44" s="22">
        <v>0</v>
      </c>
      <c r="E44" s="22">
        <v>0</v>
      </c>
      <c r="F44" s="37">
        <f t="shared" si="15"/>
        <v>0</v>
      </c>
      <c r="H44" s="32">
        <v>4</v>
      </c>
    </row>
    <row r="45" spans="1:8" ht="13.15" x14ac:dyDescent="0.4">
      <c r="A45" s="5" t="s">
        <v>89</v>
      </c>
      <c r="B45" s="22">
        <v>0</v>
      </c>
      <c r="C45" s="22">
        <v>0</v>
      </c>
      <c r="D45" s="22">
        <v>0</v>
      </c>
      <c r="E45" s="22">
        <v>0</v>
      </c>
      <c r="F45" s="37">
        <f t="shared" si="15"/>
        <v>0</v>
      </c>
      <c r="H45" s="32">
        <v>6</v>
      </c>
    </row>
    <row r="46" spans="1:8" ht="13.15" x14ac:dyDescent="0.4">
      <c r="A46" s="5" t="s">
        <v>90</v>
      </c>
      <c r="B46" s="22">
        <v>0</v>
      </c>
      <c r="C46" s="22">
        <v>0</v>
      </c>
      <c r="D46" s="22">
        <v>0</v>
      </c>
      <c r="E46" s="22">
        <v>0</v>
      </c>
      <c r="F46" s="37">
        <f t="shared" si="15"/>
        <v>0</v>
      </c>
      <c r="H46" s="32">
        <v>4</v>
      </c>
    </row>
    <row r="47" spans="1:8" ht="13.15" x14ac:dyDescent="0.4">
      <c r="A47" s="5" t="s">
        <v>91</v>
      </c>
      <c r="B47" s="22">
        <v>0</v>
      </c>
      <c r="C47" s="22">
        <v>0</v>
      </c>
      <c r="D47" s="22">
        <v>0</v>
      </c>
      <c r="E47" s="22">
        <v>0</v>
      </c>
      <c r="F47" s="37">
        <f t="shared" si="15"/>
        <v>0</v>
      </c>
      <c r="H47" s="32">
        <v>6</v>
      </c>
    </row>
    <row r="48" spans="1:8" ht="13.15" x14ac:dyDescent="0.4">
      <c r="A48" s="5" t="s">
        <v>92</v>
      </c>
      <c r="B48" s="22">
        <v>0</v>
      </c>
      <c r="C48" s="22">
        <v>0</v>
      </c>
      <c r="D48" s="22">
        <v>0</v>
      </c>
      <c r="E48" s="22">
        <v>0</v>
      </c>
      <c r="F48" s="37">
        <f t="shared" si="15"/>
        <v>0</v>
      </c>
      <c r="H48" s="32">
        <v>7</v>
      </c>
    </row>
    <row r="49" spans="1:8" ht="13.15" x14ac:dyDescent="0.4">
      <c r="A49" s="5" t="s">
        <v>93</v>
      </c>
      <c r="B49" s="22">
        <v>100</v>
      </c>
      <c r="C49" s="22">
        <v>100</v>
      </c>
      <c r="D49" s="22">
        <v>100</v>
      </c>
      <c r="E49" s="22">
        <v>100</v>
      </c>
      <c r="F49" s="37">
        <f t="shared" si="15"/>
        <v>100</v>
      </c>
      <c r="H49" s="32">
        <v>1</v>
      </c>
    </row>
    <row r="50" spans="1:8" ht="13.15" x14ac:dyDescent="0.4">
      <c r="A50" s="5" t="s">
        <v>94</v>
      </c>
      <c r="B50" s="22">
        <v>100</v>
      </c>
      <c r="C50" s="22">
        <f>29/30*100</f>
        <v>96.666666666666671</v>
      </c>
      <c r="D50" s="22">
        <v>100</v>
      </c>
      <c r="E50" s="22">
        <v>100</v>
      </c>
      <c r="F50" s="37">
        <f t="shared" si="15"/>
        <v>99.166666666666671</v>
      </c>
      <c r="H50" s="32">
        <v>2</v>
      </c>
    </row>
    <row r="51" spans="1:8" ht="13.15" x14ac:dyDescent="0.4">
      <c r="A51" s="5" t="s">
        <v>140</v>
      </c>
      <c r="B51" s="22">
        <v>0</v>
      </c>
      <c r="C51" s="22">
        <v>0</v>
      </c>
      <c r="D51" s="22">
        <v>0</v>
      </c>
      <c r="E51" s="22">
        <v>0</v>
      </c>
      <c r="F51" s="37">
        <f t="shared" si="15"/>
        <v>0</v>
      </c>
      <c r="H51" s="32">
        <v>7</v>
      </c>
    </row>
    <row r="52" spans="1:8" ht="13.15" x14ac:dyDescent="0.4">
      <c r="A52" s="5" t="s">
        <v>95</v>
      </c>
      <c r="B52" s="22">
        <v>100</v>
      </c>
      <c r="C52" s="22">
        <v>100</v>
      </c>
      <c r="D52" s="22">
        <v>100</v>
      </c>
      <c r="E52" s="22">
        <v>100</v>
      </c>
      <c r="F52" s="37">
        <f t="shared" si="15"/>
        <v>100</v>
      </c>
      <c r="H52" s="32">
        <v>2</v>
      </c>
    </row>
    <row r="53" spans="1:8" ht="13.15" x14ac:dyDescent="0.4">
      <c r="A53" s="5" t="s">
        <v>96</v>
      </c>
      <c r="B53" s="22">
        <v>100</v>
      </c>
      <c r="C53" s="22">
        <v>100</v>
      </c>
      <c r="D53" s="22">
        <v>100</v>
      </c>
      <c r="E53" s="22">
        <v>100</v>
      </c>
      <c r="F53" s="37">
        <f t="shared" si="15"/>
        <v>100</v>
      </c>
      <c r="H53" s="32">
        <v>2</v>
      </c>
    </row>
    <row r="54" spans="1:8" ht="13.15" x14ac:dyDescent="0.4">
      <c r="A54" s="5" t="s">
        <v>141</v>
      </c>
      <c r="B54" s="22">
        <v>0</v>
      </c>
      <c r="C54" s="22">
        <v>0</v>
      </c>
      <c r="D54" s="22">
        <v>0</v>
      </c>
      <c r="E54" s="22">
        <v>0</v>
      </c>
      <c r="F54" s="37">
        <f t="shared" si="15"/>
        <v>0</v>
      </c>
      <c r="H54" s="32"/>
    </row>
    <row r="55" spans="1:8" ht="13.15" x14ac:dyDescent="0.4">
      <c r="A55" s="5" t="s">
        <v>142</v>
      </c>
      <c r="B55" s="22">
        <v>0</v>
      </c>
      <c r="C55" s="22">
        <v>0</v>
      </c>
      <c r="D55" s="22">
        <v>0</v>
      </c>
      <c r="E55" s="22">
        <v>0</v>
      </c>
      <c r="F55" s="37">
        <f>AVERAGE(B55:E55)</f>
        <v>0</v>
      </c>
      <c r="H55" s="32">
        <v>3</v>
      </c>
    </row>
    <row r="56" spans="1:8" ht="13.15" x14ac:dyDescent="0.4">
      <c r="A56" s="5" t="s">
        <v>143</v>
      </c>
      <c r="B56" s="22">
        <v>0</v>
      </c>
      <c r="C56" s="22">
        <v>0</v>
      </c>
      <c r="D56" s="22">
        <v>0</v>
      </c>
      <c r="E56" s="22">
        <v>0</v>
      </c>
      <c r="F56" s="37">
        <f t="shared" ref="F56:F61" si="16">AVERAGE(B56:E56)</f>
        <v>0</v>
      </c>
      <c r="H56" s="32">
        <v>3</v>
      </c>
    </row>
    <row r="57" spans="1:8" ht="13.15" x14ac:dyDescent="0.4">
      <c r="A57" s="5" t="s">
        <v>97</v>
      </c>
      <c r="B57" s="22">
        <v>100</v>
      </c>
      <c r="C57" s="22">
        <v>100</v>
      </c>
      <c r="D57" s="22">
        <v>100</v>
      </c>
      <c r="E57" s="22">
        <v>100</v>
      </c>
      <c r="F57" s="37">
        <f t="shared" si="16"/>
        <v>100</v>
      </c>
      <c r="H57" s="32">
        <v>1</v>
      </c>
    </row>
    <row r="58" spans="1:8" ht="13.15" x14ac:dyDescent="0.4">
      <c r="A58" s="5" t="s">
        <v>98</v>
      </c>
      <c r="B58" s="22">
        <v>0</v>
      </c>
      <c r="C58" s="22">
        <v>0</v>
      </c>
      <c r="D58" s="22">
        <v>0</v>
      </c>
      <c r="E58" s="22">
        <v>0</v>
      </c>
      <c r="F58" s="37">
        <f t="shared" si="16"/>
        <v>0</v>
      </c>
      <c r="H58" s="32">
        <v>5</v>
      </c>
    </row>
    <row r="59" spans="1:8" ht="13.15" x14ac:dyDescent="0.4">
      <c r="A59" s="5" t="s">
        <v>144</v>
      </c>
      <c r="B59" s="22">
        <v>0</v>
      </c>
      <c r="C59" s="22">
        <v>0</v>
      </c>
      <c r="D59" s="22">
        <v>0</v>
      </c>
      <c r="E59" s="22">
        <v>0</v>
      </c>
      <c r="F59" s="37">
        <f t="shared" si="16"/>
        <v>0</v>
      </c>
      <c r="H59" s="32">
        <v>4</v>
      </c>
    </row>
    <row r="60" spans="1:8" ht="13.15" x14ac:dyDescent="0.4">
      <c r="A60" s="5" t="s">
        <v>99</v>
      </c>
      <c r="B60" s="22">
        <v>0</v>
      </c>
      <c r="C60" s="22">
        <v>0</v>
      </c>
      <c r="D60" s="22">
        <v>0</v>
      </c>
      <c r="E60" s="22">
        <v>0</v>
      </c>
      <c r="F60" s="37">
        <f t="shared" si="16"/>
        <v>0</v>
      </c>
      <c r="H60" s="32">
        <v>7</v>
      </c>
    </row>
    <row r="61" spans="1:8" ht="13.15" x14ac:dyDescent="0.4">
      <c r="A61" s="5" t="s">
        <v>100</v>
      </c>
      <c r="B61" s="22">
        <v>0</v>
      </c>
      <c r="C61" s="22">
        <v>0</v>
      </c>
      <c r="D61" s="22">
        <v>0</v>
      </c>
      <c r="E61" s="22">
        <v>0</v>
      </c>
      <c r="F61" s="37">
        <f t="shared" si="16"/>
        <v>0</v>
      </c>
      <c r="H61" s="32">
        <v>6</v>
      </c>
    </row>
    <row r="62" spans="1:8" ht="13.15" x14ac:dyDescent="0.35">
      <c r="H62" s="48"/>
    </row>
    <row r="63" spans="1:8" x14ac:dyDescent="0.35">
      <c r="A63" s="72" t="s">
        <v>71</v>
      </c>
      <c r="B63" s="72"/>
      <c r="C63" s="72"/>
      <c r="D63" s="72"/>
      <c r="E63" s="72"/>
      <c r="F63" s="72"/>
    </row>
    <row r="64" spans="1:8" x14ac:dyDescent="0.35">
      <c r="A64" s="33"/>
      <c r="B64" s="34" t="s">
        <v>37</v>
      </c>
      <c r="C64" s="34" t="s">
        <v>38</v>
      </c>
      <c r="D64" s="34" t="s">
        <v>42</v>
      </c>
      <c r="E64" s="35" t="s">
        <v>40</v>
      </c>
      <c r="F64" s="35" t="s">
        <v>18</v>
      </c>
    </row>
    <row r="65" spans="1:8" ht="13.15" x14ac:dyDescent="0.4">
      <c r="A65" s="5" t="s">
        <v>81</v>
      </c>
      <c r="B65" s="22">
        <v>100</v>
      </c>
      <c r="C65" s="22">
        <v>100</v>
      </c>
      <c r="D65" s="22">
        <v>100</v>
      </c>
      <c r="E65" s="22">
        <v>100</v>
      </c>
      <c r="F65" s="37">
        <f>AVERAGE(B65:E65)</f>
        <v>100</v>
      </c>
      <c r="H65" s="32">
        <v>5</v>
      </c>
    </row>
    <row r="66" spans="1:8" ht="13.15" x14ac:dyDescent="0.4">
      <c r="A66" s="5" t="s">
        <v>82</v>
      </c>
      <c r="B66" s="22">
        <v>100</v>
      </c>
      <c r="C66" s="22">
        <v>100</v>
      </c>
      <c r="D66" s="22">
        <v>100</v>
      </c>
      <c r="E66" s="22">
        <v>100</v>
      </c>
      <c r="F66" s="37">
        <f t="shared" ref="F66:F84" si="17">AVERAGE(B66:E66)</f>
        <v>100</v>
      </c>
      <c r="H66" s="32">
        <v>6</v>
      </c>
    </row>
    <row r="67" spans="1:8" ht="13.15" x14ac:dyDescent="0.4">
      <c r="A67" s="5" t="s">
        <v>83</v>
      </c>
      <c r="B67" s="22">
        <v>0</v>
      </c>
      <c r="C67" s="22">
        <v>0</v>
      </c>
      <c r="D67" s="22">
        <v>0</v>
      </c>
      <c r="E67" s="22">
        <v>0</v>
      </c>
      <c r="F67" s="37">
        <f t="shared" si="17"/>
        <v>0</v>
      </c>
      <c r="H67" s="32">
        <v>5</v>
      </c>
    </row>
    <row r="68" spans="1:8" ht="13.15" x14ac:dyDescent="0.4">
      <c r="A68" s="5" t="s">
        <v>84</v>
      </c>
      <c r="B68" s="22">
        <v>100</v>
      </c>
      <c r="C68" s="22">
        <v>100</v>
      </c>
      <c r="D68" s="22">
        <v>100</v>
      </c>
      <c r="E68" s="22">
        <v>100</v>
      </c>
      <c r="F68" s="37">
        <f t="shared" si="17"/>
        <v>100</v>
      </c>
      <c r="H68" s="32">
        <v>2</v>
      </c>
    </row>
    <row r="69" spans="1:8" ht="13.15" x14ac:dyDescent="0.4">
      <c r="A69" s="5" t="s">
        <v>138</v>
      </c>
      <c r="B69" s="22">
        <v>0</v>
      </c>
      <c r="C69" s="22">
        <v>0</v>
      </c>
      <c r="D69" s="22">
        <v>0</v>
      </c>
      <c r="E69" s="22">
        <v>0</v>
      </c>
      <c r="F69" s="37">
        <f t="shared" si="17"/>
        <v>0</v>
      </c>
      <c r="H69" s="32">
        <v>3</v>
      </c>
    </row>
    <row r="70" spans="1:8" ht="13.15" x14ac:dyDescent="0.4">
      <c r="A70" s="5" t="s">
        <v>85</v>
      </c>
      <c r="B70" s="22">
        <v>100</v>
      </c>
      <c r="C70" s="22">
        <v>100</v>
      </c>
      <c r="D70" s="22">
        <v>100</v>
      </c>
      <c r="E70" s="22">
        <v>100</v>
      </c>
      <c r="F70" s="37">
        <f t="shared" si="17"/>
        <v>100</v>
      </c>
      <c r="H70" s="32">
        <v>5</v>
      </c>
    </row>
    <row r="71" spans="1:8" ht="13.15" x14ac:dyDescent="0.4">
      <c r="A71" s="5" t="s">
        <v>86</v>
      </c>
      <c r="B71" s="22">
        <v>100</v>
      </c>
      <c r="C71" s="22">
        <v>100</v>
      </c>
      <c r="D71" s="22">
        <v>100</v>
      </c>
      <c r="E71" s="22">
        <v>100</v>
      </c>
      <c r="F71" s="37">
        <f t="shared" si="17"/>
        <v>100</v>
      </c>
      <c r="H71" s="32">
        <v>1</v>
      </c>
    </row>
    <row r="72" spans="1:8" ht="13.15" x14ac:dyDescent="0.4">
      <c r="A72" s="5" t="s">
        <v>87</v>
      </c>
      <c r="B72" s="22">
        <v>100</v>
      </c>
      <c r="C72" s="22">
        <v>100</v>
      </c>
      <c r="D72" s="22">
        <v>100</v>
      </c>
      <c r="E72" s="22">
        <v>100</v>
      </c>
      <c r="F72" s="37">
        <f t="shared" si="17"/>
        <v>100</v>
      </c>
      <c r="H72" s="32">
        <v>7</v>
      </c>
    </row>
    <row r="73" spans="1:8" ht="13.15" x14ac:dyDescent="0.4">
      <c r="A73" s="5" t="s">
        <v>88</v>
      </c>
      <c r="B73" s="22">
        <v>100</v>
      </c>
      <c r="C73" s="22">
        <v>100</v>
      </c>
      <c r="D73" s="22">
        <v>100</v>
      </c>
      <c r="E73" s="22">
        <v>100</v>
      </c>
      <c r="F73" s="37">
        <f t="shared" si="17"/>
        <v>100</v>
      </c>
      <c r="H73" s="32">
        <v>1</v>
      </c>
    </row>
    <row r="74" spans="1:8" ht="13.15" x14ac:dyDescent="0.4">
      <c r="A74" s="5" t="s">
        <v>139</v>
      </c>
      <c r="B74" s="22">
        <v>100</v>
      </c>
      <c r="C74" s="22">
        <v>100</v>
      </c>
      <c r="D74" s="22">
        <v>100</v>
      </c>
      <c r="E74" s="22">
        <v>100</v>
      </c>
      <c r="F74" s="37">
        <f t="shared" si="17"/>
        <v>100</v>
      </c>
      <c r="H74" s="32">
        <v>4</v>
      </c>
    </row>
    <row r="75" spans="1:8" ht="13.15" x14ac:dyDescent="0.4">
      <c r="A75" s="5" t="s">
        <v>89</v>
      </c>
      <c r="B75" s="22">
        <v>100</v>
      </c>
      <c r="C75" s="22">
        <v>100</v>
      </c>
      <c r="D75" s="22">
        <v>100</v>
      </c>
      <c r="E75" s="22">
        <v>100</v>
      </c>
      <c r="F75" s="37">
        <f t="shared" si="17"/>
        <v>100</v>
      </c>
      <c r="H75" s="32">
        <v>6</v>
      </c>
    </row>
    <row r="76" spans="1:8" ht="13.15" x14ac:dyDescent="0.4">
      <c r="A76" s="5" t="s">
        <v>90</v>
      </c>
      <c r="B76" s="22">
        <v>100</v>
      </c>
      <c r="C76" s="22">
        <v>100</v>
      </c>
      <c r="D76" s="22">
        <v>100</v>
      </c>
      <c r="E76" s="22">
        <v>100</v>
      </c>
      <c r="F76" s="37">
        <f t="shared" si="17"/>
        <v>100</v>
      </c>
      <c r="H76" s="32">
        <v>4</v>
      </c>
    </row>
    <row r="77" spans="1:8" ht="13.15" x14ac:dyDescent="0.4">
      <c r="A77" s="5" t="s">
        <v>91</v>
      </c>
      <c r="B77" s="22">
        <v>100</v>
      </c>
      <c r="C77" s="22">
        <v>100</v>
      </c>
      <c r="D77" s="22">
        <v>100</v>
      </c>
      <c r="E77" s="22">
        <v>100</v>
      </c>
      <c r="F77" s="37">
        <f t="shared" si="17"/>
        <v>100</v>
      </c>
      <c r="H77" s="32">
        <v>6</v>
      </c>
    </row>
    <row r="78" spans="1:8" ht="13.15" x14ac:dyDescent="0.4">
      <c r="A78" s="5" t="s">
        <v>92</v>
      </c>
      <c r="B78" s="22">
        <v>100</v>
      </c>
      <c r="C78" s="22">
        <v>100</v>
      </c>
      <c r="D78" s="22">
        <v>100</v>
      </c>
      <c r="E78" s="22">
        <v>100</v>
      </c>
      <c r="F78" s="37">
        <f t="shared" si="17"/>
        <v>100</v>
      </c>
      <c r="H78" s="32">
        <v>7</v>
      </c>
    </row>
    <row r="79" spans="1:8" ht="13.15" x14ac:dyDescent="0.4">
      <c r="A79" s="5" t="s">
        <v>93</v>
      </c>
      <c r="B79" s="22">
        <v>100</v>
      </c>
      <c r="C79" s="22">
        <v>100</v>
      </c>
      <c r="D79" s="22">
        <f>29/30*100</f>
        <v>96.666666666666671</v>
      </c>
      <c r="E79" s="22">
        <v>100</v>
      </c>
      <c r="F79" s="37">
        <f t="shared" si="17"/>
        <v>99.166666666666671</v>
      </c>
      <c r="H79" s="32">
        <v>1</v>
      </c>
    </row>
    <row r="80" spans="1:8" ht="13.15" x14ac:dyDescent="0.4">
      <c r="A80" s="5" t="s">
        <v>94</v>
      </c>
      <c r="B80" s="22">
        <v>100</v>
      </c>
      <c r="C80" s="22">
        <f>28/30*100</f>
        <v>93.333333333333329</v>
      </c>
      <c r="D80" s="22">
        <v>100</v>
      </c>
      <c r="E80" s="22">
        <v>100</v>
      </c>
      <c r="F80" s="37">
        <f t="shared" si="17"/>
        <v>98.333333333333329</v>
      </c>
      <c r="H80" s="32">
        <v>2</v>
      </c>
    </row>
    <row r="81" spans="1:8" ht="13.15" x14ac:dyDescent="0.4">
      <c r="A81" s="5" t="s">
        <v>140</v>
      </c>
      <c r="B81" s="22">
        <v>100</v>
      </c>
      <c r="C81" s="22">
        <v>100</v>
      </c>
      <c r="D81" s="22">
        <v>100</v>
      </c>
      <c r="E81" s="22">
        <v>100</v>
      </c>
      <c r="F81" s="37">
        <f t="shared" si="17"/>
        <v>100</v>
      </c>
      <c r="H81" s="32">
        <v>7</v>
      </c>
    </row>
    <row r="82" spans="1:8" ht="13.15" x14ac:dyDescent="0.4">
      <c r="A82" s="5" t="s">
        <v>95</v>
      </c>
      <c r="B82" s="22">
        <v>100</v>
      </c>
      <c r="C82" s="22">
        <v>100</v>
      </c>
      <c r="D82" s="22">
        <v>100</v>
      </c>
      <c r="E82" s="22">
        <v>100</v>
      </c>
      <c r="F82" s="37">
        <f t="shared" si="17"/>
        <v>100</v>
      </c>
      <c r="H82" s="32">
        <v>2</v>
      </c>
    </row>
    <row r="83" spans="1:8" ht="13.15" x14ac:dyDescent="0.4">
      <c r="A83" s="5" t="s">
        <v>96</v>
      </c>
      <c r="B83" s="22">
        <v>100</v>
      </c>
      <c r="C83" s="22">
        <v>100</v>
      </c>
      <c r="D83" s="22">
        <v>100</v>
      </c>
      <c r="E83" s="22">
        <v>100</v>
      </c>
      <c r="F83" s="37">
        <f t="shared" si="17"/>
        <v>100</v>
      </c>
      <c r="H83" s="32">
        <v>2</v>
      </c>
    </row>
    <row r="84" spans="1:8" ht="13.15" x14ac:dyDescent="0.4">
      <c r="A84" s="5" t="s">
        <v>141</v>
      </c>
      <c r="B84" s="22">
        <v>0</v>
      </c>
      <c r="C84" s="22">
        <v>0</v>
      </c>
      <c r="D84" s="22">
        <v>0</v>
      </c>
      <c r="E84" s="22">
        <v>0</v>
      </c>
      <c r="F84" s="37">
        <f t="shared" si="17"/>
        <v>0</v>
      </c>
      <c r="H84" s="32"/>
    </row>
    <row r="85" spans="1:8" ht="13.15" x14ac:dyDescent="0.4">
      <c r="A85" s="5" t="s">
        <v>142</v>
      </c>
      <c r="B85" s="22">
        <v>0</v>
      </c>
      <c r="C85" s="22">
        <v>0</v>
      </c>
      <c r="D85" s="22">
        <v>0</v>
      </c>
      <c r="E85" s="22">
        <v>0</v>
      </c>
      <c r="F85" s="37">
        <f>AVERAGE(B85:E85)</f>
        <v>0</v>
      </c>
      <c r="H85" s="32">
        <v>3</v>
      </c>
    </row>
    <row r="86" spans="1:8" ht="13.15" x14ac:dyDescent="0.4">
      <c r="A86" s="5" t="s">
        <v>143</v>
      </c>
      <c r="B86" s="22">
        <v>0</v>
      </c>
      <c r="C86" s="22">
        <v>0</v>
      </c>
      <c r="D86" s="22">
        <v>0</v>
      </c>
      <c r="E86" s="22">
        <v>0</v>
      </c>
      <c r="F86" s="37">
        <f t="shared" ref="F86:F91" si="18">AVERAGE(B86:E86)</f>
        <v>0</v>
      </c>
      <c r="H86" s="32">
        <v>3</v>
      </c>
    </row>
    <row r="87" spans="1:8" ht="13.15" x14ac:dyDescent="0.4">
      <c r="A87" s="5" t="s">
        <v>97</v>
      </c>
      <c r="B87" s="22">
        <v>100</v>
      </c>
      <c r="C87" s="22">
        <v>100</v>
      </c>
      <c r="D87" s="22">
        <v>100</v>
      </c>
      <c r="E87" s="22">
        <v>100</v>
      </c>
      <c r="F87" s="37">
        <f t="shared" si="18"/>
        <v>100</v>
      </c>
      <c r="H87" s="32">
        <v>1</v>
      </c>
    </row>
    <row r="88" spans="1:8" ht="13.15" x14ac:dyDescent="0.4">
      <c r="A88" s="5" t="s">
        <v>98</v>
      </c>
      <c r="B88" s="22">
        <v>100</v>
      </c>
      <c r="C88" s="22">
        <v>100</v>
      </c>
      <c r="D88" s="22">
        <v>100</v>
      </c>
      <c r="E88" s="22">
        <v>100</v>
      </c>
      <c r="F88" s="37">
        <f t="shared" si="18"/>
        <v>100</v>
      </c>
      <c r="H88" s="32">
        <v>5</v>
      </c>
    </row>
    <row r="89" spans="1:8" ht="13.15" x14ac:dyDescent="0.4">
      <c r="A89" s="5" t="s">
        <v>144</v>
      </c>
      <c r="B89" s="22">
        <v>100</v>
      </c>
      <c r="C89" s="22">
        <v>100</v>
      </c>
      <c r="D89" s="22">
        <v>100</v>
      </c>
      <c r="E89" s="22">
        <v>100</v>
      </c>
      <c r="F89" s="37">
        <f t="shared" si="18"/>
        <v>100</v>
      </c>
      <c r="H89" s="32">
        <v>4</v>
      </c>
    </row>
    <row r="90" spans="1:8" ht="13.15" x14ac:dyDescent="0.4">
      <c r="A90" s="5" t="s">
        <v>99</v>
      </c>
      <c r="B90" s="22">
        <v>100</v>
      </c>
      <c r="C90" s="22">
        <v>100</v>
      </c>
      <c r="D90" s="22">
        <v>100</v>
      </c>
      <c r="E90" s="22">
        <v>100</v>
      </c>
      <c r="F90" s="37">
        <f t="shared" si="18"/>
        <v>100</v>
      </c>
      <c r="H90" s="32">
        <v>7</v>
      </c>
    </row>
    <row r="91" spans="1:8" ht="13.15" x14ac:dyDescent="0.4">
      <c r="A91" s="5" t="s">
        <v>100</v>
      </c>
      <c r="B91" s="22">
        <v>100</v>
      </c>
      <c r="C91" s="22">
        <v>100</v>
      </c>
      <c r="D91" s="22">
        <v>100</v>
      </c>
      <c r="E91" s="22">
        <v>100</v>
      </c>
      <c r="F91" s="37">
        <f t="shared" si="18"/>
        <v>100</v>
      </c>
      <c r="H91" s="32">
        <v>6</v>
      </c>
    </row>
    <row r="92" spans="1:8" ht="13.15" x14ac:dyDescent="0.35">
      <c r="H92" s="48"/>
    </row>
    <row r="93" spans="1:8" x14ac:dyDescent="0.35">
      <c r="A93" s="72" t="s">
        <v>72</v>
      </c>
      <c r="B93" s="72"/>
      <c r="C93" s="72"/>
      <c r="D93" s="72"/>
      <c r="E93" s="72"/>
      <c r="F93" s="72"/>
    </row>
    <row r="94" spans="1:8" x14ac:dyDescent="0.35">
      <c r="A94" s="33"/>
      <c r="B94" s="34" t="s">
        <v>37</v>
      </c>
      <c r="C94" s="34" t="s">
        <v>38</v>
      </c>
      <c r="D94" s="34" t="s">
        <v>42</v>
      </c>
      <c r="E94" s="35" t="s">
        <v>40</v>
      </c>
      <c r="F94" s="35" t="s">
        <v>18</v>
      </c>
    </row>
    <row r="95" spans="1:8" ht="13.15" x14ac:dyDescent="0.4">
      <c r="A95" s="5" t="s">
        <v>81</v>
      </c>
      <c r="B95" s="22">
        <v>100</v>
      </c>
      <c r="C95" s="22">
        <v>100</v>
      </c>
      <c r="D95" s="22">
        <v>100</v>
      </c>
      <c r="E95" s="22">
        <v>100</v>
      </c>
      <c r="F95" s="37">
        <f>AVERAGE(B95:E95)</f>
        <v>100</v>
      </c>
      <c r="H95" s="32">
        <v>5</v>
      </c>
    </row>
    <row r="96" spans="1:8" ht="13.15" x14ac:dyDescent="0.4">
      <c r="A96" s="5" t="s">
        <v>82</v>
      </c>
      <c r="B96" s="22">
        <v>100</v>
      </c>
      <c r="C96" s="22">
        <v>100</v>
      </c>
      <c r="D96" s="22">
        <v>100</v>
      </c>
      <c r="E96" s="22">
        <v>100</v>
      </c>
      <c r="F96" s="37">
        <f t="shared" ref="F96:F114" si="19">AVERAGE(B96:E96)</f>
        <v>100</v>
      </c>
      <c r="H96" s="32">
        <v>6</v>
      </c>
    </row>
    <row r="97" spans="1:8" ht="13.15" x14ac:dyDescent="0.4">
      <c r="A97" s="5" t="s">
        <v>83</v>
      </c>
      <c r="B97" s="22">
        <v>0</v>
      </c>
      <c r="C97" s="22">
        <v>0</v>
      </c>
      <c r="D97" s="22">
        <v>0</v>
      </c>
      <c r="E97" s="22">
        <v>0</v>
      </c>
      <c r="F97" s="37">
        <f t="shared" si="19"/>
        <v>0</v>
      </c>
      <c r="H97" s="32">
        <v>5</v>
      </c>
    </row>
    <row r="98" spans="1:8" ht="13.15" x14ac:dyDescent="0.4">
      <c r="A98" s="5" t="s">
        <v>84</v>
      </c>
      <c r="B98" s="22">
        <v>100</v>
      </c>
      <c r="C98" s="22">
        <f>28/30*100</f>
        <v>93.333333333333329</v>
      </c>
      <c r="D98" s="22">
        <v>100</v>
      </c>
      <c r="E98" s="22">
        <v>100</v>
      </c>
      <c r="F98" s="37">
        <f t="shared" si="19"/>
        <v>98.333333333333329</v>
      </c>
      <c r="H98" s="32">
        <v>2</v>
      </c>
    </row>
    <row r="99" spans="1:8" ht="13.15" x14ac:dyDescent="0.4">
      <c r="A99" s="5" t="s">
        <v>138</v>
      </c>
      <c r="B99" s="22">
        <v>0</v>
      </c>
      <c r="C99" s="22">
        <v>0</v>
      </c>
      <c r="D99" s="22">
        <v>0</v>
      </c>
      <c r="E99" s="22">
        <v>0</v>
      </c>
      <c r="F99" s="37">
        <f t="shared" si="19"/>
        <v>0</v>
      </c>
      <c r="H99" s="32">
        <v>3</v>
      </c>
    </row>
    <row r="100" spans="1:8" ht="13.15" x14ac:dyDescent="0.4">
      <c r="A100" s="5" t="s">
        <v>85</v>
      </c>
      <c r="B100" s="22">
        <v>100</v>
      </c>
      <c r="C100" s="22">
        <v>100</v>
      </c>
      <c r="D100" s="22">
        <v>100</v>
      </c>
      <c r="E100" s="22">
        <v>100</v>
      </c>
      <c r="F100" s="37">
        <f t="shared" si="19"/>
        <v>100</v>
      </c>
      <c r="H100" s="32">
        <v>5</v>
      </c>
    </row>
    <row r="101" spans="1:8" ht="13.15" x14ac:dyDescent="0.4">
      <c r="A101" s="5" t="s">
        <v>86</v>
      </c>
      <c r="B101" s="22">
        <v>100</v>
      </c>
      <c r="C101" s="22">
        <v>100</v>
      </c>
      <c r="D101" s="22">
        <v>100</v>
      </c>
      <c r="E101" s="22">
        <v>100</v>
      </c>
      <c r="F101" s="37">
        <f t="shared" si="19"/>
        <v>100</v>
      </c>
      <c r="H101" s="32">
        <v>1</v>
      </c>
    </row>
    <row r="102" spans="1:8" ht="13.15" x14ac:dyDescent="0.4">
      <c r="A102" s="5" t="s">
        <v>87</v>
      </c>
      <c r="B102" s="22">
        <v>100</v>
      </c>
      <c r="C102" s="22">
        <v>100</v>
      </c>
      <c r="D102" s="22">
        <v>100</v>
      </c>
      <c r="E102" s="22">
        <v>100</v>
      </c>
      <c r="F102" s="37">
        <f t="shared" si="19"/>
        <v>100</v>
      </c>
      <c r="H102" s="32">
        <v>7</v>
      </c>
    </row>
    <row r="103" spans="1:8" ht="13.15" x14ac:dyDescent="0.4">
      <c r="A103" s="5" t="s">
        <v>88</v>
      </c>
      <c r="B103" s="22">
        <v>100</v>
      </c>
      <c r="C103" s="22">
        <v>100</v>
      </c>
      <c r="D103" s="22">
        <v>100</v>
      </c>
      <c r="E103" s="22">
        <v>100</v>
      </c>
      <c r="F103" s="37">
        <f t="shared" si="19"/>
        <v>100</v>
      </c>
      <c r="H103" s="32">
        <v>1</v>
      </c>
    </row>
    <row r="104" spans="1:8" ht="13.15" x14ac:dyDescent="0.4">
      <c r="A104" s="5" t="s">
        <v>139</v>
      </c>
      <c r="B104" s="22">
        <v>100</v>
      </c>
      <c r="C104" s="22">
        <v>100</v>
      </c>
      <c r="D104" s="22">
        <v>100</v>
      </c>
      <c r="E104" s="22">
        <v>100</v>
      </c>
      <c r="F104" s="37">
        <f t="shared" si="19"/>
        <v>100</v>
      </c>
      <c r="H104" s="32">
        <v>4</v>
      </c>
    </row>
    <row r="105" spans="1:8" ht="13.15" x14ac:dyDescent="0.4">
      <c r="A105" s="5" t="s">
        <v>89</v>
      </c>
      <c r="B105" s="22">
        <v>100</v>
      </c>
      <c r="C105" s="22">
        <v>100</v>
      </c>
      <c r="D105" s="22">
        <v>100</v>
      </c>
      <c r="E105" s="22">
        <v>100</v>
      </c>
      <c r="F105" s="37">
        <f t="shared" si="19"/>
        <v>100</v>
      </c>
      <c r="H105" s="32">
        <v>6</v>
      </c>
    </row>
    <row r="106" spans="1:8" ht="13.15" x14ac:dyDescent="0.4">
      <c r="A106" s="5" t="s">
        <v>90</v>
      </c>
      <c r="B106" s="22">
        <v>100</v>
      </c>
      <c r="C106" s="22">
        <v>100</v>
      </c>
      <c r="D106" s="22">
        <v>100</v>
      </c>
      <c r="E106" s="22">
        <v>100</v>
      </c>
      <c r="F106" s="37">
        <f t="shared" si="19"/>
        <v>100</v>
      </c>
      <c r="H106" s="32">
        <v>4</v>
      </c>
    </row>
    <row r="107" spans="1:8" ht="13.15" x14ac:dyDescent="0.4">
      <c r="A107" s="5" t="s">
        <v>91</v>
      </c>
      <c r="B107" s="22">
        <v>100</v>
      </c>
      <c r="C107" s="22">
        <v>100</v>
      </c>
      <c r="D107" s="22">
        <v>100</v>
      </c>
      <c r="E107" s="22">
        <v>100</v>
      </c>
      <c r="F107" s="37">
        <f t="shared" si="19"/>
        <v>100</v>
      </c>
      <c r="H107" s="32">
        <v>6</v>
      </c>
    </row>
    <row r="108" spans="1:8" ht="13.15" x14ac:dyDescent="0.4">
      <c r="A108" s="5" t="s">
        <v>92</v>
      </c>
      <c r="B108" s="22">
        <v>100</v>
      </c>
      <c r="C108" s="22">
        <v>100</v>
      </c>
      <c r="D108" s="22">
        <v>100</v>
      </c>
      <c r="E108" s="22">
        <v>100</v>
      </c>
      <c r="F108" s="37">
        <f t="shared" si="19"/>
        <v>100</v>
      </c>
      <c r="H108" s="32">
        <v>7</v>
      </c>
    </row>
    <row r="109" spans="1:8" ht="13.15" x14ac:dyDescent="0.4">
      <c r="A109" s="5" t="s">
        <v>93</v>
      </c>
      <c r="B109" s="22">
        <v>100</v>
      </c>
      <c r="C109" s="22">
        <v>100</v>
      </c>
      <c r="D109" s="22">
        <v>100</v>
      </c>
      <c r="E109" s="22">
        <v>100</v>
      </c>
      <c r="F109" s="37">
        <f t="shared" si="19"/>
        <v>100</v>
      </c>
      <c r="H109" s="32">
        <v>1</v>
      </c>
    </row>
    <row r="110" spans="1:8" ht="13.15" x14ac:dyDescent="0.4">
      <c r="A110" s="5" t="s">
        <v>94</v>
      </c>
      <c r="B110" s="22">
        <v>100</v>
      </c>
      <c r="C110" s="22">
        <v>100</v>
      </c>
      <c r="D110" s="22">
        <v>100</v>
      </c>
      <c r="E110" s="22">
        <v>100</v>
      </c>
      <c r="F110" s="37">
        <f t="shared" si="19"/>
        <v>100</v>
      </c>
      <c r="H110" s="32">
        <v>2</v>
      </c>
    </row>
    <row r="111" spans="1:8" ht="13.15" x14ac:dyDescent="0.4">
      <c r="A111" s="5" t="s">
        <v>140</v>
      </c>
      <c r="B111" s="22">
        <v>100</v>
      </c>
      <c r="C111" s="22">
        <v>100</v>
      </c>
      <c r="D111" s="22">
        <v>100</v>
      </c>
      <c r="E111" s="22">
        <v>100</v>
      </c>
      <c r="F111" s="37">
        <f t="shared" si="19"/>
        <v>100</v>
      </c>
      <c r="H111" s="32">
        <v>7</v>
      </c>
    </row>
    <row r="112" spans="1:8" ht="13.15" x14ac:dyDescent="0.4">
      <c r="A112" s="5" t="s">
        <v>95</v>
      </c>
      <c r="B112" s="22">
        <v>100</v>
      </c>
      <c r="C112" s="22">
        <v>100</v>
      </c>
      <c r="D112" s="22">
        <v>100</v>
      </c>
      <c r="E112" s="22">
        <v>100</v>
      </c>
      <c r="F112" s="37">
        <f t="shared" si="19"/>
        <v>100</v>
      </c>
      <c r="H112" s="32">
        <v>2</v>
      </c>
    </row>
    <row r="113" spans="1:8" ht="13.15" x14ac:dyDescent="0.4">
      <c r="A113" s="5" t="s">
        <v>96</v>
      </c>
      <c r="B113" s="22">
        <v>100</v>
      </c>
      <c r="C113" s="22">
        <v>100</v>
      </c>
      <c r="D113" s="22">
        <v>100</v>
      </c>
      <c r="E113" s="22">
        <v>100</v>
      </c>
      <c r="F113" s="37">
        <f t="shared" si="19"/>
        <v>100</v>
      </c>
      <c r="H113" s="32">
        <v>2</v>
      </c>
    </row>
    <row r="114" spans="1:8" ht="13.15" x14ac:dyDescent="0.4">
      <c r="A114" s="5" t="s">
        <v>141</v>
      </c>
      <c r="B114" s="22">
        <v>0</v>
      </c>
      <c r="C114" s="22">
        <v>0</v>
      </c>
      <c r="D114" s="22">
        <v>0</v>
      </c>
      <c r="E114" s="22">
        <v>0</v>
      </c>
      <c r="F114" s="37">
        <f t="shared" si="19"/>
        <v>0</v>
      </c>
      <c r="H114" s="32"/>
    </row>
    <row r="115" spans="1:8" ht="13.15" x14ac:dyDescent="0.4">
      <c r="A115" s="5" t="s">
        <v>142</v>
      </c>
      <c r="B115" s="22">
        <v>0</v>
      </c>
      <c r="C115" s="22">
        <v>0</v>
      </c>
      <c r="D115" s="22">
        <v>0</v>
      </c>
      <c r="E115" s="22">
        <v>0</v>
      </c>
      <c r="F115" s="37">
        <f>AVERAGE(B115:E115)</f>
        <v>0</v>
      </c>
      <c r="H115" s="32">
        <v>3</v>
      </c>
    </row>
    <row r="116" spans="1:8" ht="13.15" x14ac:dyDescent="0.4">
      <c r="A116" s="5" t="s">
        <v>143</v>
      </c>
      <c r="B116" s="22">
        <v>0</v>
      </c>
      <c r="C116" s="22">
        <v>0</v>
      </c>
      <c r="D116" s="22">
        <v>0</v>
      </c>
      <c r="E116" s="22">
        <v>0</v>
      </c>
      <c r="F116" s="37">
        <f t="shared" ref="F116:F121" si="20">AVERAGE(B116:E116)</f>
        <v>0</v>
      </c>
      <c r="H116" s="32">
        <v>3</v>
      </c>
    </row>
    <row r="117" spans="1:8" ht="13.15" x14ac:dyDescent="0.4">
      <c r="A117" s="5" t="s">
        <v>97</v>
      </c>
      <c r="B117" s="22">
        <v>100</v>
      </c>
      <c r="C117" s="22">
        <v>100</v>
      </c>
      <c r="D117" s="22">
        <v>100</v>
      </c>
      <c r="E117" s="22">
        <v>100</v>
      </c>
      <c r="F117" s="37">
        <f t="shared" si="20"/>
        <v>100</v>
      </c>
      <c r="H117" s="32">
        <v>1</v>
      </c>
    </row>
    <row r="118" spans="1:8" ht="13.15" x14ac:dyDescent="0.4">
      <c r="A118" s="5" t="s">
        <v>98</v>
      </c>
      <c r="B118" s="22">
        <v>100</v>
      </c>
      <c r="C118" s="22">
        <v>100</v>
      </c>
      <c r="D118" s="22">
        <v>100</v>
      </c>
      <c r="E118" s="22">
        <v>100</v>
      </c>
      <c r="F118" s="37">
        <f t="shared" si="20"/>
        <v>100</v>
      </c>
      <c r="H118" s="32">
        <v>5</v>
      </c>
    </row>
    <row r="119" spans="1:8" ht="13.15" x14ac:dyDescent="0.4">
      <c r="A119" s="5" t="s">
        <v>144</v>
      </c>
      <c r="B119" s="22">
        <v>100</v>
      </c>
      <c r="C119" s="22">
        <v>100</v>
      </c>
      <c r="D119" s="22">
        <v>100</v>
      </c>
      <c r="E119" s="22">
        <v>100</v>
      </c>
      <c r="F119" s="37">
        <f t="shared" si="20"/>
        <v>100</v>
      </c>
      <c r="H119" s="32">
        <v>4</v>
      </c>
    </row>
    <row r="120" spans="1:8" ht="13.15" x14ac:dyDescent="0.4">
      <c r="A120" s="5" t="s">
        <v>99</v>
      </c>
      <c r="B120" s="22">
        <v>100</v>
      </c>
      <c r="C120" s="22">
        <v>100</v>
      </c>
      <c r="D120" s="22">
        <v>100</v>
      </c>
      <c r="E120" s="22">
        <v>100</v>
      </c>
      <c r="F120" s="37">
        <f t="shared" si="20"/>
        <v>100</v>
      </c>
      <c r="H120" s="32">
        <v>7</v>
      </c>
    </row>
    <row r="121" spans="1:8" ht="13.15" x14ac:dyDescent="0.4">
      <c r="A121" s="5" t="s">
        <v>100</v>
      </c>
      <c r="B121" s="22">
        <v>100</v>
      </c>
      <c r="C121" s="22">
        <v>100</v>
      </c>
      <c r="D121" s="22">
        <v>100</v>
      </c>
      <c r="E121" s="22">
        <v>100</v>
      </c>
      <c r="F121" s="37">
        <f t="shared" si="20"/>
        <v>100</v>
      </c>
      <c r="H121" s="32">
        <v>6</v>
      </c>
    </row>
    <row r="122" spans="1:8" ht="13.15" x14ac:dyDescent="0.35">
      <c r="H122" s="48"/>
    </row>
    <row r="123" spans="1:8" x14ac:dyDescent="0.35">
      <c r="A123" s="72" t="s">
        <v>73</v>
      </c>
      <c r="B123" s="72"/>
      <c r="C123" s="72"/>
      <c r="D123" s="72"/>
      <c r="E123" s="72"/>
      <c r="F123" s="72"/>
    </row>
    <row r="124" spans="1:8" x14ac:dyDescent="0.35">
      <c r="A124" s="33"/>
      <c r="B124" s="34" t="s">
        <v>37</v>
      </c>
      <c r="C124" s="34" t="s">
        <v>38</v>
      </c>
      <c r="D124" s="34" t="s">
        <v>42</v>
      </c>
      <c r="E124" s="35" t="s">
        <v>40</v>
      </c>
      <c r="F124" s="35" t="s">
        <v>18</v>
      </c>
    </row>
    <row r="125" spans="1:8" ht="13.15" x14ac:dyDescent="0.4">
      <c r="A125" s="5" t="s">
        <v>81</v>
      </c>
      <c r="B125" s="36">
        <v>100</v>
      </c>
      <c r="C125" s="36">
        <v>100</v>
      </c>
      <c r="D125" s="36">
        <v>100</v>
      </c>
      <c r="E125" s="36">
        <v>100</v>
      </c>
      <c r="F125" s="37">
        <f>AVERAGE(B125:E125)</f>
        <v>100</v>
      </c>
      <c r="H125" s="32">
        <v>5</v>
      </c>
    </row>
    <row r="126" spans="1:8" ht="13.15" x14ac:dyDescent="0.4">
      <c r="A126" s="5" t="s">
        <v>82</v>
      </c>
      <c r="B126" s="36">
        <v>100</v>
      </c>
      <c r="C126" s="36">
        <v>100</v>
      </c>
      <c r="D126" s="36">
        <v>100</v>
      </c>
      <c r="E126" s="36">
        <v>100</v>
      </c>
      <c r="F126" s="37">
        <f t="shared" ref="F126:F144" si="21">AVERAGE(B126:E126)</f>
        <v>100</v>
      </c>
      <c r="H126" s="32">
        <v>6</v>
      </c>
    </row>
    <row r="127" spans="1:8" ht="13.15" x14ac:dyDescent="0.4">
      <c r="A127" s="5" t="s">
        <v>83</v>
      </c>
      <c r="B127" s="36">
        <v>100</v>
      </c>
      <c r="C127" s="36">
        <v>100</v>
      </c>
      <c r="D127" s="36">
        <v>100</v>
      </c>
      <c r="E127" s="36">
        <v>100</v>
      </c>
      <c r="F127" s="37">
        <f t="shared" si="21"/>
        <v>100</v>
      </c>
      <c r="H127" s="32">
        <v>5</v>
      </c>
    </row>
    <row r="128" spans="1:8" ht="13.15" x14ac:dyDescent="0.4">
      <c r="A128" s="5" t="s">
        <v>84</v>
      </c>
      <c r="B128" s="36">
        <v>100</v>
      </c>
      <c r="C128" s="36">
        <v>100</v>
      </c>
      <c r="D128" s="36">
        <v>100</v>
      </c>
      <c r="E128" s="36">
        <v>100</v>
      </c>
      <c r="F128" s="37">
        <f t="shared" si="21"/>
        <v>100</v>
      </c>
      <c r="H128" s="32">
        <v>2</v>
      </c>
    </row>
    <row r="129" spans="1:8" ht="13.15" x14ac:dyDescent="0.4">
      <c r="A129" s="5" t="s">
        <v>138</v>
      </c>
      <c r="B129" s="36">
        <v>0</v>
      </c>
      <c r="C129" s="36">
        <v>0</v>
      </c>
      <c r="D129" s="36">
        <v>0</v>
      </c>
      <c r="E129" s="36">
        <v>0</v>
      </c>
      <c r="F129" s="37">
        <f t="shared" si="21"/>
        <v>0</v>
      </c>
      <c r="H129" s="32">
        <v>3</v>
      </c>
    </row>
    <row r="130" spans="1:8" ht="13.15" x14ac:dyDescent="0.4">
      <c r="A130" s="5" t="s">
        <v>85</v>
      </c>
      <c r="B130" s="36">
        <v>100</v>
      </c>
      <c r="C130" s="36">
        <v>100</v>
      </c>
      <c r="D130" s="36">
        <v>100</v>
      </c>
      <c r="E130" s="36">
        <v>100</v>
      </c>
      <c r="F130" s="37">
        <f t="shared" si="21"/>
        <v>100</v>
      </c>
      <c r="H130" s="32">
        <v>5</v>
      </c>
    </row>
    <row r="131" spans="1:8" ht="13.15" x14ac:dyDescent="0.4">
      <c r="A131" s="5" t="s">
        <v>86</v>
      </c>
      <c r="B131" s="36">
        <v>100</v>
      </c>
      <c r="C131" s="36">
        <v>100</v>
      </c>
      <c r="D131" s="36">
        <v>100</v>
      </c>
      <c r="E131" s="36">
        <v>100</v>
      </c>
      <c r="F131" s="37">
        <f t="shared" si="21"/>
        <v>100</v>
      </c>
      <c r="H131" s="32">
        <v>1</v>
      </c>
    </row>
    <row r="132" spans="1:8" ht="13.15" x14ac:dyDescent="0.4">
      <c r="A132" s="5" t="s">
        <v>87</v>
      </c>
      <c r="B132" s="36">
        <v>100</v>
      </c>
      <c r="C132" s="36">
        <v>100</v>
      </c>
      <c r="D132" s="36">
        <v>100</v>
      </c>
      <c r="E132" s="36">
        <v>100</v>
      </c>
      <c r="F132" s="37">
        <f t="shared" si="21"/>
        <v>100</v>
      </c>
      <c r="H132" s="32">
        <v>7</v>
      </c>
    </row>
    <row r="133" spans="1:8" ht="13.15" x14ac:dyDescent="0.4">
      <c r="A133" s="5" t="s">
        <v>88</v>
      </c>
      <c r="B133" s="36">
        <v>100</v>
      </c>
      <c r="C133" s="36">
        <v>100</v>
      </c>
      <c r="D133" s="36">
        <v>100</v>
      </c>
      <c r="E133" s="36">
        <v>100</v>
      </c>
      <c r="F133" s="37">
        <f t="shared" si="21"/>
        <v>100</v>
      </c>
      <c r="H133" s="32">
        <v>1</v>
      </c>
    </row>
    <row r="134" spans="1:8" ht="13.15" x14ac:dyDescent="0.4">
      <c r="A134" s="5" t="s">
        <v>139</v>
      </c>
      <c r="B134" s="36">
        <v>100</v>
      </c>
      <c r="C134" s="36">
        <v>100</v>
      </c>
      <c r="D134" s="36">
        <v>100</v>
      </c>
      <c r="E134" s="36">
        <v>100</v>
      </c>
      <c r="F134" s="37">
        <f t="shared" si="21"/>
        <v>100</v>
      </c>
      <c r="H134" s="32">
        <v>4</v>
      </c>
    </row>
    <row r="135" spans="1:8" ht="13.15" x14ac:dyDescent="0.4">
      <c r="A135" s="5" t="s">
        <v>89</v>
      </c>
      <c r="B135" s="36">
        <v>100</v>
      </c>
      <c r="C135" s="36">
        <v>100</v>
      </c>
      <c r="D135" s="36">
        <v>100</v>
      </c>
      <c r="E135" s="36">
        <v>100</v>
      </c>
      <c r="F135" s="37">
        <f t="shared" si="21"/>
        <v>100</v>
      </c>
      <c r="H135" s="32">
        <v>6</v>
      </c>
    </row>
    <row r="136" spans="1:8" ht="13.15" x14ac:dyDescent="0.4">
      <c r="A136" s="5" t="s">
        <v>90</v>
      </c>
      <c r="B136" s="36">
        <v>100</v>
      </c>
      <c r="C136" s="36">
        <v>100</v>
      </c>
      <c r="D136" s="36">
        <v>100</v>
      </c>
      <c r="E136" s="36">
        <v>100</v>
      </c>
      <c r="F136" s="37">
        <f t="shared" si="21"/>
        <v>100</v>
      </c>
      <c r="H136" s="32">
        <v>4</v>
      </c>
    </row>
    <row r="137" spans="1:8" ht="13.15" x14ac:dyDescent="0.4">
      <c r="A137" s="5" t="s">
        <v>91</v>
      </c>
      <c r="B137" s="36">
        <v>100</v>
      </c>
      <c r="C137" s="36">
        <v>100</v>
      </c>
      <c r="D137" s="36">
        <v>100</v>
      </c>
      <c r="E137" s="36">
        <v>100</v>
      </c>
      <c r="F137" s="37">
        <f t="shared" si="21"/>
        <v>100</v>
      </c>
      <c r="H137" s="32">
        <v>6</v>
      </c>
    </row>
    <row r="138" spans="1:8" ht="13.15" x14ac:dyDescent="0.4">
      <c r="A138" s="5" t="s">
        <v>92</v>
      </c>
      <c r="B138" s="36">
        <v>100</v>
      </c>
      <c r="C138" s="36">
        <v>100</v>
      </c>
      <c r="D138" s="36">
        <v>100</v>
      </c>
      <c r="E138" s="36">
        <v>100</v>
      </c>
      <c r="F138" s="37">
        <f t="shared" si="21"/>
        <v>100</v>
      </c>
      <c r="H138" s="32">
        <v>7</v>
      </c>
    </row>
    <row r="139" spans="1:8" ht="13.15" x14ac:dyDescent="0.4">
      <c r="A139" s="5" t="s">
        <v>93</v>
      </c>
      <c r="B139" s="36">
        <v>100</v>
      </c>
      <c r="C139" s="36">
        <v>100</v>
      </c>
      <c r="D139" s="36">
        <v>100</v>
      </c>
      <c r="E139" s="36">
        <v>100</v>
      </c>
      <c r="F139" s="37">
        <f t="shared" si="21"/>
        <v>100</v>
      </c>
      <c r="H139" s="32">
        <v>1</v>
      </c>
    </row>
    <row r="140" spans="1:8" ht="13.15" x14ac:dyDescent="0.4">
      <c r="A140" s="5" t="s">
        <v>94</v>
      </c>
      <c r="B140" s="36">
        <v>100</v>
      </c>
      <c r="C140" s="36">
        <v>100</v>
      </c>
      <c r="D140" s="36">
        <v>100</v>
      </c>
      <c r="E140" s="36">
        <v>100</v>
      </c>
      <c r="F140" s="37">
        <f t="shared" si="21"/>
        <v>100</v>
      </c>
      <c r="H140" s="32">
        <v>2</v>
      </c>
    </row>
    <row r="141" spans="1:8" ht="13.15" x14ac:dyDescent="0.4">
      <c r="A141" s="5" t="s">
        <v>140</v>
      </c>
      <c r="B141" s="36">
        <v>100</v>
      </c>
      <c r="C141" s="36">
        <v>100</v>
      </c>
      <c r="D141" s="36">
        <v>100</v>
      </c>
      <c r="E141" s="36">
        <v>100</v>
      </c>
      <c r="F141" s="37">
        <f t="shared" si="21"/>
        <v>100</v>
      </c>
      <c r="H141" s="32">
        <v>7</v>
      </c>
    </row>
    <row r="142" spans="1:8" ht="13.15" x14ac:dyDescent="0.4">
      <c r="A142" s="5" t="s">
        <v>95</v>
      </c>
      <c r="B142" s="36">
        <v>100</v>
      </c>
      <c r="C142" s="36">
        <v>100</v>
      </c>
      <c r="D142" s="36">
        <v>100</v>
      </c>
      <c r="E142" s="36">
        <v>100</v>
      </c>
      <c r="F142" s="37">
        <f t="shared" si="21"/>
        <v>100</v>
      </c>
      <c r="H142" s="32">
        <v>2</v>
      </c>
    </row>
    <row r="143" spans="1:8" ht="13.15" x14ac:dyDescent="0.4">
      <c r="A143" s="5" t="s">
        <v>96</v>
      </c>
      <c r="B143" s="36">
        <v>100</v>
      </c>
      <c r="C143" s="36">
        <v>100</v>
      </c>
      <c r="D143" s="36">
        <v>100</v>
      </c>
      <c r="E143" s="36">
        <v>100</v>
      </c>
      <c r="F143" s="37">
        <f t="shared" si="21"/>
        <v>100</v>
      </c>
      <c r="H143" s="32">
        <v>2</v>
      </c>
    </row>
    <row r="144" spans="1:8" ht="13.15" x14ac:dyDescent="0.4">
      <c r="A144" s="5" t="s">
        <v>141</v>
      </c>
      <c r="B144" s="36">
        <v>0</v>
      </c>
      <c r="C144" s="36">
        <v>0</v>
      </c>
      <c r="D144" s="36">
        <v>0</v>
      </c>
      <c r="E144" s="36">
        <v>0</v>
      </c>
      <c r="F144" s="37">
        <f t="shared" si="21"/>
        <v>0</v>
      </c>
      <c r="H144" s="32"/>
    </row>
    <row r="145" spans="1:8" ht="13.15" x14ac:dyDescent="0.4">
      <c r="A145" s="5" t="s">
        <v>142</v>
      </c>
      <c r="B145" s="36">
        <v>0</v>
      </c>
      <c r="C145" s="36">
        <v>0</v>
      </c>
      <c r="D145" s="36">
        <v>0</v>
      </c>
      <c r="E145" s="36">
        <v>0</v>
      </c>
      <c r="F145" s="37">
        <f>AVERAGE(B145:E145)</f>
        <v>0</v>
      </c>
      <c r="H145" s="32">
        <v>3</v>
      </c>
    </row>
    <row r="146" spans="1:8" ht="13.15" x14ac:dyDescent="0.4">
      <c r="A146" s="5" t="s">
        <v>143</v>
      </c>
      <c r="B146" s="36">
        <v>0</v>
      </c>
      <c r="C146" s="36">
        <v>0</v>
      </c>
      <c r="D146" s="36">
        <v>0</v>
      </c>
      <c r="E146" s="36">
        <v>0</v>
      </c>
      <c r="F146" s="37">
        <f t="shared" ref="F146:F151" si="22">AVERAGE(B146:E146)</f>
        <v>0</v>
      </c>
      <c r="H146" s="32">
        <v>3</v>
      </c>
    </row>
    <row r="147" spans="1:8" ht="13.15" x14ac:dyDescent="0.4">
      <c r="A147" s="5" t="s">
        <v>97</v>
      </c>
      <c r="B147" s="36">
        <v>100</v>
      </c>
      <c r="C147" s="36">
        <v>100</v>
      </c>
      <c r="D147" s="36">
        <v>100</v>
      </c>
      <c r="E147" s="36">
        <v>100</v>
      </c>
      <c r="F147" s="37">
        <f t="shared" si="22"/>
        <v>100</v>
      </c>
      <c r="H147" s="32">
        <v>1</v>
      </c>
    </row>
    <row r="148" spans="1:8" ht="13.15" x14ac:dyDescent="0.4">
      <c r="A148" s="5" t="s">
        <v>98</v>
      </c>
      <c r="B148" s="36">
        <v>100</v>
      </c>
      <c r="C148" s="36">
        <v>100</v>
      </c>
      <c r="D148" s="36">
        <v>100</v>
      </c>
      <c r="E148" s="36">
        <v>100</v>
      </c>
      <c r="F148" s="37">
        <f t="shared" si="22"/>
        <v>100</v>
      </c>
      <c r="H148" s="32">
        <v>5</v>
      </c>
    </row>
    <row r="149" spans="1:8" ht="13.15" x14ac:dyDescent="0.4">
      <c r="A149" s="5" t="s">
        <v>144</v>
      </c>
      <c r="B149" s="36">
        <v>100</v>
      </c>
      <c r="C149" s="36">
        <v>100</v>
      </c>
      <c r="D149" s="36">
        <v>100</v>
      </c>
      <c r="E149" s="36">
        <v>100</v>
      </c>
      <c r="F149" s="37">
        <f t="shared" si="22"/>
        <v>100</v>
      </c>
      <c r="H149" s="32">
        <v>4</v>
      </c>
    </row>
    <row r="150" spans="1:8" ht="13.15" x14ac:dyDescent="0.4">
      <c r="A150" s="5" t="s">
        <v>99</v>
      </c>
      <c r="B150" s="36">
        <v>100</v>
      </c>
      <c r="C150" s="36">
        <v>100</v>
      </c>
      <c r="D150" s="36">
        <v>100</v>
      </c>
      <c r="E150" s="36">
        <v>100</v>
      </c>
      <c r="F150" s="37">
        <f t="shared" si="22"/>
        <v>100</v>
      </c>
      <c r="H150" s="32">
        <v>7</v>
      </c>
    </row>
    <row r="151" spans="1:8" ht="13.15" x14ac:dyDescent="0.4">
      <c r="A151" s="5" t="s">
        <v>100</v>
      </c>
      <c r="B151" s="36">
        <v>100</v>
      </c>
      <c r="C151" s="36">
        <v>100</v>
      </c>
      <c r="D151" s="36">
        <v>100</v>
      </c>
      <c r="E151" s="36">
        <v>100</v>
      </c>
      <c r="F151" s="37">
        <f t="shared" si="22"/>
        <v>100</v>
      </c>
      <c r="H151" s="32">
        <v>6</v>
      </c>
    </row>
  </sheetData>
  <sheetProtection selectLockedCells="1" selectUnlockedCells="1"/>
  <mergeCells count="11">
    <mergeCell ref="A33:F33"/>
    <mergeCell ref="A63:F63"/>
    <mergeCell ref="A93:F93"/>
    <mergeCell ref="A123:F123"/>
    <mergeCell ref="H3:J3"/>
    <mergeCell ref="K3:M3"/>
    <mergeCell ref="N3:N4"/>
    <mergeCell ref="A3:A4"/>
    <mergeCell ref="A1:N1"/>
    <mergeCell ref="B3:D3"/>
    <mergeCell ref="E3:G3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7"/>
  <sheetViews>
    <sheetView workbookViewId="0">
      <pane xSplit="1" ySplit="3" topLeftCell="B4" activePane="bottomRight" state="frozen"/>
      <selection pane="topRight" activeCell="C1" sqref="C1"/>
      <selection pane="bottomLeft" activeCell="A10" sqref="A10"/>
      <selection pane="bottomRight" activeCell="D9" sqref="D9"/>
    </sheetView>
  </sheetViews>
  <sheetFormatPr baseColWidth="10" defaultColWidth="11.3984375" defaultRowHeight="12.75" x14ac:dyDescent="0.35"/>
  <cols>
    <col min="1" max="1" width="7.73046875" style="11" customWidth="1"/>
    <col min="2" max="5" width="10.73046875" style="11" customWidth="1"/>
    <col min="6" max="16384" width="11.3984375" style="11"/>
  </cols>
  <sheetData>
    <row r="1" spans="1:5" ht="15" x14ac:dyDescent="0.4">
      <c r="A1" s="73" t="s">
        <v>54</v>
      </c>
      <c r="B1" s="73"/>
      <c r="C1" s="73"/>
      <c r="D1" s="73"/>
      <c r="E1" s="73"/>
    </row>
    <row r="2" spans="1:5" ht="13.15" x14ac:dyDescent="0.4">
      <c r="A2" s="12"/>
      <c r="B2" s="13"/>
      <c r="C2" s="14"/>
      <c r="D2" s="14"/>
      <c r="E2" s="14"/>
    </row>
    <row r="3" spans="1:5" x14ac:dyDescent="0.35">
      <c r="A3" s="15" t="s">
        <v>2</v>
      </c>
      <c r="B3" s="15" t="s">
        <v>11</v>
      </c>
      <c r="C3" s="15" t="s">
        <v>12</v>
      </c>
      <c r="D3" s="15" t="s">
        <v>13</v>
      </c>
      <c r="E3" s="15" t="s">
        <v>18</v>
      </c>
    </row>
    <row r="4" spans="1:5" ht="13.15" x14ac:dyDescent="0.4">
      <c r="A4" s="5" t="s">
        <v>81</v>
      </c>
      <c r="B4" s="22">
        <v>88</v>
      </c>
      <c r="C4" s="22">
        <v>84</v>
      </c>
      <c r="D4" s="22">
        <v>87</v>
      </c>
      <c r="E4" s="16">
        <f>AVERAGE(B4:D4)</f>
        <v>86.333333333333329</v>
      </c>
    </row>
    <row r="5" spans="1:5" ht="13.15" x14ac:dyDescent="0.4">
      <c r="A5" s="5" t="s">
        <v>82</v>
      </c>
      <c r="B5" s="22">
        <v>79</v>
      </c>
      <c r="C5" s="22">
        <v>100</v>
      </c>
      <c r="D5" s="22">
        <v>100</v>
      </c>
      <c r="E5" s="16">
        <f t="shared" ref="E5:E6" si="0">AVERAGE(B5:D5)</f>
        <v>93</v>
      </c>
    </row>
    <row r="6" spans="1:5" ht="13.15" x14ac:dyDescent="0.4">
      <c r="A6" s="5" t="s">
        <v>83</v>
      </c>
      <c r="B6" s="22">
        <v>0</v>
      </c>
      <c r="C6" s="22">
        <v>0</v>
      </c>
      <c r="D6" s="22">
        <v>0</v>
      </c>
      <c r="E6" s="16">
        <f t="shared" si="0"/>
        <v>0</v>
      </c>
    </row>
    <row r="7" spans="1:5" ht="13.15" x14ac:dyDescent="0.4">
      <c r="A7" s="5" t="s">
        <v>84</v>
      </c>
      <c r="B7" s="22">
        <v>97</v>
      </c>
      <c r="C7" s="22">
        <v>86</v>
      </c>
      <c r="D7" s="22">
        <v>100</v>
      </c>
      <c r="E7" s="16">
        <f t="shared" ref="E7:E30" si="1">AVERAGE(B7:D7)</f>
        <v>94.333333333333329</v>
      </c>
    </row>
    <row r="8" spans="1:5" ht="13.15" x14ac:dyDescent="0.4">
      <c r="A8" s="5" t="s">
        <v>138</v>
      </c>
      <c r="B8" s="22">
        <v>82</v>
      </c>
      <c r="C8" s="22">
        <v>86</v>
      </c>
      <c r="D8" s="22">
        <v>0</v>
      </c>
      <c r="E8" s="16">
        <f t="shared" si="1"/>
        <v>56</v>
      </c>
    </row>
    <row r="9" spans="1:5" ht="13.15" x14ac:dyDescent="0.4">
      <c r="A9" s="5" t="s">
        <v>85</v>
      </c>
      <c r="B9" s="22">
        <v>87</v>
      </c>
      <c r="C9" s="22">
        <v>84</v>
      </c>
      <c r="D9" s="22">
        <v>87</v>
      </c>
      <c r="E9" s="16">
        <f t="shared" si="1"/>
        <v>86</v>
      </c>
    </row>
    <row r="10" spans="1:5" ht="13.15" x14ac:dyDescent="0.4">
      <c r="A10" s="5" t="s">
        <v>86</v>
      </c>
      <c r="B10" s="22">
        <v>93</v>
      </c>
      <c r="C10" s="22">
        <v>100</v>
      </c>
      <c r="D10" s="22">
        <v>95</v>
      </c>
      <c r="E10" s="16">
        <f t="shared" si="1"/>
        <v>96</v>
      </c>
    </row>
    <row r="11" spans="1:5" ht="13.15" x14ac:dyDescent="0.4">
      <c r="A11" s="5" t="s">
        <v>87</v>
      </c>
      <c r="B11" s="22">
        <v>91</v>
      </c>
      <c r="C11" s="22">
        <v>94</v>
      </c>
      <c r="D11" s="22">
        <v>100</v>
      </c>
      <c r="E11" s="16">
        <f t="shared" si="1"/>
        <v>95</v>
      </c>
    </row>
    <row r="12" spans="1:5" ht="13.15" x14ac:dyDescent="0.4">
      <c r="A12" s="5" t="s">
        <v>88</v>
      </c>
      <c r="B12" s="22">
        <v>87</v>
      </c>
      <c r="C12" s="22">
        <v>100</v>
      </c>
      <c r="D12" s="22">
        <v>95</v>
      </c>
      <c r="E12" s="16">
        <f t="shared" si="1"/>
        <v>94</v>
      </c>
    </row>
    <row r="13" spans="1:5" ht="13.15" x14ac:dyDescent="0.4">
      <c r="A13" s="5" t="s">
        <v>139</v>
      </c>
      <c r="B13" s="22">
        <v>77</v>
      </c>
      <c r="C13" s="22">
        <v>79</v>
      </c>
      <c r="D13" s="22">
        <v>90</v>
      </c>
      <c r="E13" s="16">
        <f t="shared" si="1"/>
        <v>82</v>
      </c>
    </row>
    <row r="14" spans="1:5" ht="13.15" x14ac:dyDescent="0.4">
      <c r="A14" s="5" t="s">
        <v>89</v>
      </c>
      <c r="B14" s="22">
        <v>78</v>
      </c>
      <c r="C14" s="22">
        <v>100</v>
      </c>
      <c r="D14" s="22">
        <v>100</v>
      </c>
      <c r="E14" s="16">
        <f t="shared" si="1"/>
        <v>92.666666666666671</v>
      </c>
    </row>
    <row r="15" spans="1:5" ht="13.15" x14ac:dyDescent="0.4">
      <c r="A15" s="5" t="s">
        <v>90</v>
      </c>
      <c r="B15" s="22">
        <v>77</v>
      </c>
      <c r="C15" s="22">
        <v>79</v>
      </c>
      <c r="D15" s="22">
        <v>90</v>
      </c>
      <c r="E15" s="16">
        <f t="shared" si="1"/>
        <v>82</v>
      </c>
    </row>
    <row r="16" spans="1:5" ht="13.15" x14ac:dyDescent="0.4">
      <c r="A16" s="5" t="s">
        <v>91</v>
      </c>
      <c r="B16" s="22">
        <v>78</v>
      </c>
      <c r="C16" s="22">
        <v>77</v>
      </c>
      <c r="D16" s="22">
        <v>100</v>
      </c>
      <c r="E16" s="16">
        <f t="shared" si="1"/>
        <v>85</v>
      </c>
    </row>
    <row r="17" spans="1:5" ht="13.15" x14ac:dyDescent="0.4">
      <c r="A17" s="5" t="s">
        <v>92</v>
      </c>
      <c r="B17" s="22">
        <v>87</v>
      </c>
      <c r="C17" s="22">
        <v>100</v>
      </c>
      <c r="D17" s="22">
        <v>100</v>
      </c>
      <c r="E17" s="16">
        <f t="shared" si="1"/>
        <v>95.666666666666671</v>
      </c>
    </row>
    <row r="18" spans="1:5" ht="13.15" x14ac:dyDescent="0.4">
      <c r="A18" s="5" t="s">
        <v>93</v>
      </c>
      <c r="B18" s="22">
        <v>100</v>
      </c>
      <c r="C18" s="22">
        <v>100</v>
      </c>
      <c r="D18" s="22">
        <v>95</v>
      </c>
      <c r="E18" s="16">
        <f t="shared" si="1"/>
        <v>98.333333333333329</v>
      </c>
    </row>
    <row r="19" spans="1:5" ht="13.15" x14ac:dyDescent="0.4">
      <c r="A19" s="5" t="s">
        <v>94</v>
      </c>
      <c r="B19" s="22">
        <v>100</v>
      </c>
      <c r="C19" s="22">
        <v>86</v>
      </c>
      <c r="D19" s="22">
        <v>100</v>
      </c>
      <c r="E19" s="16">
        <f t="shared" si="1"/>
        <v>95.333333333333329</v>
      </c>
    </row>
    <row r="20" spans="1:5" ht="13.15" x14ac:dyDescent="0.4">
      <c r="A20" s="5" t="s">
        <v>140</v>
      </c>
      <c r="B20" s="22">
        <v>87</v>
      </c>
      <c r="C20" s="22">
        <v>100</v>
      </c>
      <c r="D20" s="22">
        <v>100</v>
      </c>
      <c r="E20" s="16">
        <f t="shared" si="1"/>
        <v>95.666666666666671</v>
      </c>
    </row>
    <row r="21" spans="1:5" ht="13.15" x14ac:dyDescent="0.4">
      <c r="A21" s="5" t="s">
        <v>95</v>
      </c>
      <c r="B21" s="22">
        <v>100</v>
      </c>
      <c r="C21" s="22">
        <v>86</v>
      </c>
      <c r="D21" s="22">
        <v>100</v>
      </c>
      <c r="E21" s="16">
        <f t="shared" si="1"/>
        <v>95.333333333333329</v>
      </c>
    </row>
    <row r="22" spans="1:5" ht="13.15" x14ac:dyDescent="0.4">
      <c r="A22" s="5" t="s">
        <v>96</v>
      </c>
      <c r="B22" s="22">
        <v>97</v>
      </c>
      <c r="C22" s="22">
        <v>86</v>
      </c>
      <c r="D22" s="22">
        <v>100</v>
      </c>
      <c r="E22" s="16">
        <f t="shared" si="1"/>
        <v>94.333333333333329</v>
      </c>
    </row>
    <row r="23" spans="1:5" ht="13.15" x14ac:dyDescent="0.4">
      <c r="A23" s="5" t="s">
        <v>141</v>
      </c>
      <c r="B23" s="22">
        <v>0</v>
      </c>
      <c r="C23" s="22">
        <v>0</v>
      </c>
      <c r="D23" s="22">
        <v>0</v>
      </c>
      <c r="E23" s="16">
        <f t="shared" si="1"/>
        <v>0</v>
      </c>
    </row>
    <row r="24" spans="1:5" ht="13.15" x14ac:dyDescent="0.4">
      <c r="A24" s="5" t="s">
        <v>142</v>
      </c>
      <c r="B24" s="22">
        <v>82</v>
      </c>
      <c r="C24" s="22">
        <v>86</v>
      </c>
      <c r="D24" s="22">
        <v>0</v>
      </c>
      <c r="E24" s="16">
        <f t="shared" si="1"/>
        <v>56</v>
      </c>
    </row>
    <row r="25" spans="1:5" ht="13.15" x14ac:dyDescent="0.4">
      <c r="A25" s="5" t="s">
        <v>143</v>
      </c>
      <c r="B25" s="22">
        <v>82</v>
      </c>
      <c r="C25" s="22">
        <v>86</v>
      </c>
      <c r="D25" s="22">
        <v>0</v>
      </c>
      <c r="E25" s="16">
        <f t="shared" si="1"/>
        <v>56</v>
      </c>
    </row>
    <row r="26" spans="1:5" ht="13.15" x14ac:dyDescent="0.4">
      <c r="A26" s="5" t="s">
        <v>97</v>
      </c>
      <c r="B26" s="22">
        <v>93</v>
      </c>
      <c r="C26" s="22">
        <v>100</v>
      </c>
      <c r="D26" s="22">
        <v>95</v>
      </c>
      <c r="E26" s="16">
        <f t="shared" si="1"/>
        <v>96</v>
      </c>
    </row>
    <row r="27" spans="1:5" ht="13.15" x14ac:dyDescent="0.4">
      <c r="A27" s="5" t="s">
        <v>98</v>
      </c>
      <c r="B27" s="22">
        <v>88</v>
      </c>
      <c r="C27" s="22">
        <v>84</v>
      </c>
      <c r="D27" s="22">
        <v>87</v>
      </c>
      <c r="E27" s="16">
        <f t="shared" si="1"/>
        <v>86.333333333333329</v>
      </c>
    </row>
    <row r="28" spans="1:5" ht="13.15" x14ac:dyDescent="0.4">
      <c r="A28" s="5" t="s">
        <v>144</v>
      </c>
      <c r="B28" s="22">
        <v>77</v>
      </c>
      <c r="C28" s="22">
        <v>79</v>
      </c>
      <c r="D28" s="22">
        <v>90</v>
      </c>
      <c r="E28" s="16">
        <f t="shared" si="1"/>
        <v>82</v>
      </c>
    </row>
    <row r="29" spans="1:5" ht="13.15" x14ac:dyDescent="0.4">
      <c r="A29" s="5" t="s">
        <v>99</v>
      </c>
      <c r="B29" s="22">
        <v>91</v>
      </c>
      <c r="C29" s="22">
        <v>94</v>
      </c>
      <c r="D29" s="22">
        <v>100</v>
      </c>
      <c r="E29" s="16">
        <f t="shared" si="1"/>
        <v>95</v>
      </c>
    </row>
    <row r="30" spans="1:5" ht="13.15" x14ac:dyDescent="0.4">
      <c r="A30" s="5" t="s">
        <v>100</v>
      </c>
      <c r="B30" s="22">
        <v>78</v>
      </c>
      <c r="C30" s="22">
        <v>77</v>
      </c>
      <c r="D30" s="22">
        <v>100</v>
      </c>
      <c r="E30" s="16">
        <f t="shared" si="1"/>
        <v>85</v>
      </c>
    </row>
    <row r="31" spans="1:5" ht="13.15" x14ac:dyDescent="0.4">
      <c r="B31" s="26">
        <f>AVERAGE(B4:B30)</f>
        <v>80.592592592592595</v>
      </c>
      <c r="C31" s="26">
        <f>AVERAGE(C4:C30)</f>
        <v>82.703703703703709</v>
      </c>
      <c r="D31" s="26">
        <f>AVERAGE(D4:D30)</f>
        <v>78.18518518518519</v>
      </c>
      <c r="E31" s="27">
        <f>AVERAGE(E4:E30)</f>
        <v>80.493827160493822</v>
      </c>
    </row>
    <row r="33" spans="2:9" x14ac:dyDescent="0.35">
      <c r="B33" s="15" t="s">
        <v>55</v>
      </c>
      <c r="C33" s="15" t="s">
        <v>56</v>
      </c>
      <c r="D33" s="15" t="s">
        <v>57</v>
      </c>
      <c r="E33" s="15" t="s">
        <v>58</v>
      </c>
      <c r="F33" s="15" t="s">
        <v>59</v>
      </c>
      <c r="G33" s="15" t="s">
        <v>60</v>
      </c>
      <c r="H33" s="15" t="s">
        <v>61</v>
      </c>
      <c r="I33" s="28" t="s">
        <v>21</v>
      </c>
    </row>
    <row r="34" spans="2:9" ht="13.15" x14ac:dyDescent="0.35">
      <c r="B34" s="29" t="s">
        <v>62</v>
      </c>
      <c r="C34" s="30">
        <f>COUNTIF(B4:B30,"&lt;=50")</f>
        <v>2</v>
      </c>
      <c r="D34" s="30">
        <f>COUNTIF(B4:B30,"&lt;=60")-C34</f>
        <v>0</v>
      </c>
      <c r="E34" s="30">
        <f>COUNTIF(B4:B30,"&lt;=70")-SUM(C34:D34)</f>
        <v>0</v>
      </c>
      <c r="F34" s="30">
        <f>COUNTIF(B4:B30,"&lt;=80")-SUM(C34:E34)</f>
        <v>7</v>
      </c>
      <c r="G34" s="30">
        <f>COUNTIF(B4:B30,"&lt;=90")-SUM(C34:F34)</f>
        <v>9</v>
      </c>
      <c r="H34" s="30">
        <f>COUNTIF(B4:B30,"&lt;=150")-SUM(C34:G34)</f>
        <v>9</v>
      </c>
      <c r="I34" s="30">
        <f>SUM(C34:H34)</f>
        <v>27</v>
      </c>
    </row>
    <row r="35" spans="2:9" ht="13.15" x14ac:dyDescent="0.35">
      <c r="B35" s="29" t="s">
        <v>63</v>
      </c>
      <c r="C35" s="30">
        <f>COUNTIF(C4:C30,"&lt;=50")</f>
        <v>2</v>
      </c>
      <c r="D35" s="30">
        <f>COUNTIF(C4:C30,"&lt;=60")-C35</f>
        <v>0</v>
      </c>
      <c r="E35" s="30">
        <f>COUNTIF(C4:C30,"&lt;=70")-SUM(C35:D35)</f>
        <v>0</v>
      </c>
      <c r="F35" s="30">
        <f>COUNTIF(C4:C30,"&lt;=80")-SUM(C35:E35)</f>
        <v>5</v>
      </c>
      <c r="G35" s="30">
        <f>COUNTIF(C4:C30,"&lt;=90")-SUM(C35:F35)</f>
        <v>10</v>
      </c>
      <c r="H35" s="30">
        <f>COUNTIF(C4:C30,"&lt;=150")-SUM(C35:G35)</f>
        <v>10</v>
      </c>
      <c r="I35" s="30">
        <f>SUM(C35:H35)</f>
        <v>27</v>
      </c>
    </row>
    <row r="36" spans="2:9" ht="13.15" x14ac:dyDescent="0.35">
      <c r="B36" s="29" t="s">
        <v>64</v>
      </c>
      <c r="C36" s="30">
        <f>COUNTIF(D4:D30,"&lt;=50")</f>
        <v>5</v>
      </c>
      <c r="D36" s="30">
        <f>COUNTIF(D4:D30,"&lt;=60")-C36</f>
        <v>0</v>
      </c>
      <c r="E36" s="30">
        <f>COUNTIF(D4:D30,"&lt;=70")-SUM(C36:D36)</f>
        <v>0</v>
      </c>
      <c r="F36" s="30">
        <f>COUNTIF(D4:D30,"&lt;=80")-SUM(C36:E36)</f>
        <v>0</v>
      </c>
      <c r="G36" s="30">
        <f>COUNTIF(D4:D30,"&lt;=90")-SUM(C36:F36)</f>
        <v>6</v>
      </c>
      <c r="H36" s="30">
        <f>COUNTIF(D4:D30,"&lt;=150")-SUM(C36:G36)</f>
        <v>16</v>
      </c>
      <c r="I36" s="30">
        <f>SUM(C36:H36)</f>
        <v>27</v>
      </c>
    </row>
    <row r="37" spans="2:9" x14ac:dyDescent="0.35">
      <c r="B37" s="31"/>
      <c r="C37" s="31"/>
      <c r="D37" s="31"/>
    </row>
  </sheetData>
  <sheetProtection selectLockedCells="1" selectUnlockedCells="1"/>
  <mergeCells count="1">
    <mergeCell ref="A1:E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V68"/>
  <sheetViews>
    <sheetView workbookViewId="0">
      <selection activeCell="CQ42" sqref="CQ42"/>
    </sheetView>
  </sheetViews>
  <sheetFormatPr baseColWidth="10" defaultRowHeight="12.75" x14ac:dyDescent="0.35"/>
  <cols>
    <col min="1" max="256" width="9.06640625" customWidth="1"/>
  </cols>
  <sheetData>
    <row r="1" spans="1:256" x14ac:dyDescent="0.35">
      <c r="A1" t="e">
        <f>IF(Teoria!1:1,"AAAAAGPv/QA=",0)</f>
        <v>#VALUE!</v>
      </c>
      <c r="B1" t="e">
        <f>AND(Teoria!A1,"AAAAAGPv/QE=")</f>
        <v>#VALUE!</v>
      </c>
      <c r="C1" t="e">
        <f>AND(Teoria!#REF!,"AAAAAGPv/QI=")</f>
        <v>#REF!</v>
      </c>
      <c r="D1" t="e">
        <f>AND(Teoria!#REF!,"AAAAAGPv/QM=")</f>
        <v>#REF!</v>
      </c>
      <c r="E1" t="e">
        <f>AND(Teoria!#REF!,"AAAAAGPv/QQ=")</f>
        <v>#REF!</v>
      </c>
      <c r="F1" t="e">
        <f>AND(Teoria!F1,"AAAAAGPv/QU=")</f>
        <v>#VALUE!</v>
      </c>
      <c r="G1" t="e">
        <f>AND(Teoria!G1,"AAAAAGPv/QY=")</f>
        <v>#VALUE!</v>
      </c>
      <c r="H1" t="e">
        <f>AND(Teoria!H1,"AAAAAGPv/Qc=")</f>
        <v>#VALUE!</v>
      </c>
      <c r="I1" t="e">
        <f>AND(Teoria!I1,"AAAAAGPv/Qg=")</f>
        <v>#VALUE!</v>
      </c>
      <c r="J1" t="e">
        <f>AND(Teoria!J1,"AAAAAGPv/Qk=")</f>
        <v>#VALUE!</v>
      </c>
      <c r="K1" t="e">
        <f>AND(Teoria!K1,"AAAAAGPv/Qo=")</f>
        <v>#VALUE!</v>
      </c>
      <c r="L1" t="e">
        <f>AND(Teoria!L1,"AAAAAGPv/Qs=")</f>
        <v>#VALUE!</v>
      </c>
      <c r="M1" t="e">
        <f>AND(Teoria!M1,"AAAAAGPv/Qw=")</f>
        <v>#VALUE!</v>
      </c>
      <c r="N1" t="e">
        <f>AND(Teoria!N1,"AAAAAGPv/Q0=")</f>
        <v>#VALUE!</v>
      </c>
      <c r="O1" t="e">
        <f>AND(Teoria!O1,"AAAAAGPv/Q4=")</f>
        <v>#VALUE!</v>
      </c>
      <c r="P1" t="e">
        <f>AND(Teoria!P1,"AAAAAGPv/Q8=")</f>
        <v>#VALUE!</v>
      </c>
      <c r="Q1" t="e">
        <f>AND(Teoria!Q1,"AAAAAGPv/RA=")</f>
        <v>#VALUE!</v>
      </c>
      <c r="R1" t="e">
        <f>AND(Teoria!S1,"AAAAAGPv/RE=")</f>
        <v>#VALUE!</v>
      </c>
      <c r="S1" t="e">
        <f>AND(Teoria!#REF!,"AAAAAGPv/RI=")</f>
        <v>#REF!</v>
      </c>
      <c r="T1" t="e">
        <f>AND(Teoria!T1,"AAAAAGPv/RM=")</f>
        <v>#VALUE!</v>
      </c>
      <c r="U1" t="e">
        <f>AND(Teoria!U1,"AAAAAGPv/RQ=")</f>
        <v>#VALUE!</v>
      </c>
      <c r="V1">
        <f>IF(Teoria!2:2,"AAAAAGPv/RU=",0)</f>
        <v>0</v>
      </c>
      <c r="W1" t="e">
        <f>AND(Teoria!A2,"AAAAAGPv/RY=")</f>
        <v>#VALUE!</v>
      </c>
      <c r="X1" t="e">
        <f>AND(Teoria!#REF!,"AAAAAGPv/Rc=")</f>
        <v>#REF!</v>
      </c>
      <c r="Y1" t="e">
        <f>AND(Teoria!#REF!,"AAAAAGPv/Rg=")</f>
        <v>#REF!</v>
      </c>
      <c r="Z1" t="e">
        <f>AND(Teoria!#REF!,"AAAAAGPv/Rk=")</f>
        <v>#REF!</v>
      </c>
      <c r="AA1" t="e">
        <f>AND(Teoria!F2,"AAAAAGPv/Ro=")</f>
        <v>#VALUE!</v>
      </c>
      <c r="AB1" t="e">
        <f>AND(Teoria!G2,"AAAAAGPv/Rs=")</f>
        <v>#VALUE!</v>
      </c>
      <c r="AC1" t="e">
        <f>AND(Teoria!H2,"AAAAAGPv/Rw=")</f>
        <v>#VALUE!</v>
      </c>
      <c r="AD1" t="e">
        <f>AND(Teoria!I2,"AAAAAGPv/R0=")</f>
        <v>#VALUE!</v>
      </c>
      <c r="AE1" t="e">
        <f>AND(Teoria!J2,"AAAAAGPv/R4=")</f>
        <v>#VALUE!</v>
      </c>
      <c r="AF1" t="e">
        <f>AND(Teoria!K2,"AAAAAGPv/R8=")</f>
        <v>#VALUE!</v>
      </c>
      <c r="AG1" t="e">
        <f>AND(Teoria!L2,"AAAAAGPv/SA=")</f>
        <v>#VALUE!</v>
      </c>
      <c r="AH1" t="e">
        <f>AND(Teoria!M2,"AAAAAGPv/SE=")</f>
        <v>#VALUE!</v>
      </c>
      <c r="AI1" t="e">
        <f>AND(Teoria!N2,"AAAAAGPv/SI=")</f>
        <v>#VALUE!</v>
      </c>
      <c r="AJ1" t="e">
        <f>AND(Teoria!O2,"AAAAAGPv/SM=")</f>
        <v>#VALUE!</v>
      </c>
      <c r="AK1" t="e">
        <f>AND(Teoria!P2,"AAAAAGPv/SQ=")</f>
        <v>#VALUE!</v>
      </c>
      <c r="AL1" t="e">
        <f>AND(Teoria!Q2,"AAAAAGPv/SU=")</f>
        <v>#VALUE!</v>
      </c>
      <c r="AM1" t="e">
        <f>AND(Teoria!S2,"AAAAAGPv/SY=")</f>
        <v>#VALUE!</v>
      </c>
      <c r="AN1" t="e">
        <f>AND(Teoria!#REF!,"AAAAAGPv/Sc=")</f>
        <v>#REF!</v>
      </c>
      <c r="AO1" t="e">
        <f>AND(Teoria!T2,"AAAAAGPv/Sg=")</f>
        <v>#VALUE!</v>
      </c>
      <c r="AP1" t="e">
        <f>AND(Teoria!U2,"AAAAAGPv/Sk=")</f>
        <v>#VALUE!</v>
      </c>
      <c r="AQ1">
        <f>IF(Teoria!3:3,"AAAAAGPv/So=",0)</f>
        <v>0</v>
      </c>
      <c r="AR1" t="e">
        <f>AND(Teoria!A3,"AAAAAGPv/Ss=")</f>
        <v>#VALUE!</v>
      </c>
      <c r="AS1" t="e">
        <f>AND(Teoria!#REF!,"AAAAAGPv/Sw=")</f>
        <v>#REF!</v>
      </c>
      <c r="AT1" t="e">
        <f>AND(Teoria!#REF!,"AAAAAGPv/S0=")</f>
        <v>#REF!</v>
      </c>
      <c r="AU1" t="e">
        <f>AND(Teoria!#REF!,"AAAAAGPv/S4=")</f>
        <v>#REF!</v>
      </c>
      <c r="AV1" t="e">
        <f>AND(Teoria!F3,"AAAAAGPv/S8=")</f>
        <v>#VALUE!</v>
      </c>
      <c r="AW1" t="e">
        <f>AND(Teoria!G3,"AAAAAGPv/TA=")</f>
        <v>#VALUE!</v>
      </c>
      <c r="AX1" t="e">
        <f>AND(Teoria!H3,"AAAAAGPv/TE=")</f>
        <v>#VALUE!</v>
      </c>
      <c r="AY1" t="e">
        <f>AND(Teoria!I3,"AAAAAGPv/TI=")</f>
        <v>#VALUE!</v>
      </c>
      <c r="AZ1" t="e">
        <f>AND(Teoria!J3,"AAAAAGPv/TM=")</f>
        <v>#VALUE!</v>
      </c>
      <c r="BA1" t="e">
        <f>AND(Teoria!K3,"AAAAAGPv/TQ=")</f>
        <v>#VALUE!</v>
      </c>
      <c r="BB1" t="e">
        <f>AND(Teoria!L3,"AAAAAGPv/TU=")</f>
        <v>#VALUE!</v>
      </c>
      <c r="BC1" t="e">
        <f>AND(Teoria!M3,"AAAAAGPv/TY=")</f>
        <v>#VALUE!</v>
      </c>
      <c r="BD1" t="e">
        <f>AND(Teoria!N3,"AAAAAGPv/Tc=")</f>
        <v>#VALUE!</v>
      </c>
      <c r="BE1" t="e">
        <f>AND(Teoria!O3,"AAAAAGPv/Tg=")</f>
        <v>#VALUE!</v>
      </c>
      <c r="BF1" t="e">
        <f>AND(Teoria!P3,"AAAAAGPv/Tk=")</f>
        <v>#VALUE!</v>
      </c>
      <c r="BG1" t="e">
        <f>AND(Teoria!Q3,"AAAAAGPv/To=")</f>
        <v>#VALUE!</v>
      </c>
      <c r="BH1" t="e">
        <f>AND(Teoria!S3,"AAAAAGPv/Ts=")</f>
        <v>#VALUE!</v>
      </c>
      <c r="BI1" t="e">
        <f>AND(Teoria!#REF!,"AAAAAGPv/Tw=")</f>
        <v>#REF!</v>
      </c>
      <c r="BJ1" t="e">
        <f>AND(Teoria!T3,"AAAAAGPv/T0=")</f>
        <v>#VALUE!</v>
      </c>
      <c r="BK1" t="e">
        <f>AND(Teoria!U3,"AAAAAGPv/T4=")</f>
        <v>#VALUE!</v>
      </c>
      <c r="BL1">
        <f>IF(Teoria!4:4,"AAAAAGPv/T8=",0)</f>
        <v>0</v>
      </c>
      <c r="BM1" t="e">
        <f>AND(Teoria!A4,"AAAAAGPv/UA=")</f>
        <v>#VALUE!</v>
      </c>
      <c r="BN1" t="e">
        <f>AND(Teoria!#REF!,"AAAAAGPv/UE=")</f>
        <v>#REF!</v>
      </c>
      <c r="BO1" t="e">
        <f>AND(Teoria!#REF!,"AAAAAGPv/UI=")</f>
        <v>#REF!</v>
      </c>
      <c r="BP1" t="e">
        <f>AND(Teoria!#REF!,"AAAAAGPv/UM=")</f>
        <v>#REF!</v>
      </c>
      <c r="BQ1" t="e">
        <f>AND(Teoria!F4,"AAAAAGPv/UQ=")</f>
        <v>#VALUE!</v>
      </c>
      <c r="BR1" t="e">
        <f>AND(Teoria!G4,"AAAAAGPv/UU=")</f>
        <v>#VALUE!</v>
      </c>
      <c r="BS1" t="e">
        <f>AND(Teoria!H4,"AAAAAGPv/UY=")</f>
        <v>#VALUE!</v>
      </c>
      <c r="BT1" t="e">
        <f>AND(Teoria!I4,"AAAAAGPv/Uc=")</f>
        <v>#VALUE!</v>
      </c>
      <c r="BU1" t="e">
        <f>AND(Teoria!J4,"AAAAAGPv/Ug=")</f>
        <v>#VALUE!</v>
      </c>
      <c r="BV1" t="e">
        <f>AND(Teoria!K4,"AAAAAGPv/Uk=")</f>
        <v>#VALUE!</v>
      </c>
      <c r="BW1" t="e">
        <f>AND(Teoria!L4,"AAAAAGPv/Uo=")</f>
        <v>#VALUE!</v>
      </c>
      <c r="BX1" t="e">
        <f>AND(Teoria!M4,"AAAAAGPv/Us=")</f>
        <v>#VALUE!</v>
      </c>
      <c r="BY1" t="e">
        <f>AND(Teoria!N4,"AAAAAGPv/Uw=")</f>
        <v>#VALUE!</v>
      </c>
      <c r="BZ1" t="e">
        <f>AND(Teoria!O4,"AAAAAGPv/U0=")</f>
        <v>#VALUE!</v>
      </c>
      <c r="CA1" t="e">
        <f>AND(Teoria!P4,"AAAAAGPv/U4=")</f>
        <v>#VALUE!</v>
      </c>
      <c r="CB1" t="e">
        <f>AND(Teoria!Q4,"AAAAAGPv/U8=")</f>
        <v>#VALUE!</v>
      </c>
      <c r="CC1" t="e">
        <f>AND(Teoria!S4,"AAAAAGPv/VA=")</f>
        <v>#VALUE!</v>
      </c>
      <c r="CD1" t="e">
        <f>AND(Teoria!#REF!,"AAAAAGPv/VE=")</f>
        <v>#REF!</v>
      </c>
      <c r="CE1" t="e">
        <f>AND(Teoria!T4,"AAAAAGPv/VI=")</f>
        <v>#VALUE!</v>
      </c>
      <c r="CF1" t="e">
        <f>AND(Teoria!U4,"AAAAAGPv/VM=")</f>
        <v>#VALUE!</v>
      </c>
      <c r="CG1">
        <f>IF(Teoria!5:5,"AAAAAGPv/VQ=",0)</f>
        <v>0</v>
      </c>
      <c r="CH1" t="e">
        <f>AND(Teoria!A5,"AAAAAGPv/VU=")</f>
        <v>#VALUE!</v>
      </c>
      <c r="CI1" t="e">
        <f>AND(Teoria!#REF!,"AAAAAGPv/VY=")</f>
        <v>#REF!</v>
      </c>
      <c r="CJ1" t="e">
        <f>AND(Teoria!#REF!,"AAAAAGPv/Vc=")</f>
        <v>#REF!</v>
      </c>
      <c r="CK1" t="e">
        <f>AND(Teoria!#REF!,"AAAAAGPv/Vg=")</f>
        <v>#REF!</v>
      </c>
      <c r="CL1" t="e">
        <f>AND(Teoria!F5,"AAAAAGPv/Vk=")</f>
        <v>#VALUE!</v>
      </c>
      <c r="CM1" t="e">
        <f>AND(Teoria!G5,"AAAAAGPv/Vo=")</f>
        <v>#VALUE!</v>
      </c>
      <c r="CN1" t="e">
        <f>AND(Teoria!H5,"AAAAAGPv/Vs=")</f>
        <v>#VALUE!</v>
      </c>
      <c r="CO1" t="e">
        <f>AND(Teoria!I5,"AAAAAGPv/Vw=")</f>
        <v>#VALUE!</v>
      </c>
      <c r="CP1" t="e">
        <f>AND(Teoria!J5,"AAAAAGPv/V0=")</f>
        <v>#VALUE!</v>
      </c>
      <c r="CQ1" t="e">
        <f>AND(Teoria!K5,"AAAAAGPv/V4=")</f>
        <v>#VALUE!</v>
      </c>
      <c r="CR1" t="e">
        <f>AND(Teoria!L5,"AAAAAGPv/V8=")</f>
        <v>#VALUE!</v>
      </c>
      <c r="CS1" t="e">
        <f>AND(Teoria!M5,"AAAAAGPv/WA=")</f>
        <v>#VALUE!</v>
      </c>
      <c r="CT1" t="e">
        <f>AND(Teoria!N5,"AAAAAGPv/WE=")</f>
        <v>#VALUE!</v>
      </c>
      <c r="CU1" t="e">
        <f>AND(Teoria!O5,"AAAAAGPv/WI=")</f>
        <v>#VALUE!</v>
      </c>
      <c r="CV1" t="e">
        <f>AND(Teoria!P5,"AAAAAGPv/WM=")</f>
        <v>#VALUE!</v>
      </c>
      <c r="CW1" t="e">
        <f>AND(Teoria!Q5,"AAAAAGPv/WQ=")</f>
        <v>#VALUE!</v>
      </c>
      <c r="CX1" t="e">
        <f>AND(Teoria!S5,"AAAAAGPv/WU=")</f>
        <v>#VALUE!</v>
      </c>
      <c r="CY1" t="e">
        <f>AND(Teoria!#REF!,"AAAAAGPv/WY=")</f>
        <v>#REF!</v>
      </c>
      <c r="CZ1" t="e">
        <f>AND(Teoria!T5,"AAAAAGPv/Wc=")</f>
        <v>#VALUE!</v>
      </c>
      <c r="DA1" t="e">
        <f>AND(Teoria!U5,"AAAAAGPv/Wg=")</f>
        <v>#VALUE!</v>
      </c>
      <c r="DB1">
        <f>IF(Teoria!6:6,"AAAAAGPv/Wk=",0)</f>
        <v>0</v>
      </c>
      <c r="DC1" t="e">
        <f>AND(Teoria!A6,"AAAAAGPv/Wo=")</f>
        <v>#VALUE!</v>
      </c>
      <c r="DD1" t="e">
        <f>AND(Teoria!#REF!,"AAAAAGPv/Ws=")</f>
        <v>#REF!</v>
      </c>
      <c r="DE1" t="e">
        <f>AND(Teoria!#REF!,"AAAAAGPv/Ww=")</f>
        <v>#REF!</v>
      </c>
      <c r="DF1" t="e">
        <f>AND(Teoria!#REF!,"AAAAAGPv/W0=")</f>
        <v>#REF!</v>
      </c>
      <c r="DG1" t="e">
        <f>AND(Teoria!F6,"AAAAAGPv/W4=")</f>
        <v>#VALUE!</v>
      </c>
      <c r="DH1" t="e">
        <f>AND(Teoria!G6,"AAAAAGPv/W8=")</f>
        <v>#VALUE!</v>
      </c>
      <c r="DI1" t="e">
        <f>AND(Teoria!H6,"AAAAAGPv/XA=")</f>
        <v>#VALUE!</v>
      </c>
      <c r="DJ1" t="e">
        <f>AND(Teoria!I6,"AAAAAGPv/XE=")</f>
        <v>#VALUE!</v>
      </c>
      <c r="DK1" t="e">
        <f>AND(Teoria!J6,"AAAAAGPv/XI=")</f>
        <v>#VALUE!</v>
      </c>
      <c r="DL1" t="e">
        <f>AND(Teoria!K6,"AAAAAGPv/XM=")</f>
        <v>#VALUE!</v>
      </c>
      <c r="DM1" t="e">
        <f>AND(Teoria!L6,"AAAAAGPv/XQ=")</f>
        <v>#VALUE!</v>
      </c>
      <c r="DN1" t="e">
        <f>AND(Teoria!M6,"AAAAAGPv/XU=")</f>
        <v>#VALUE!</v>
      </c>
      <c r="DO1" t="e">
        <f>AND(Teoria!N6,"AAAAAGPv/XY=")</f>
        <v>#VALUE!</v>
      </c>
      <c r="DP1" t="e">
        <f>AND(Teoria!O6,"AAAAAGPv/Xc=")</f>
        <v>#VALUE!</v>
      </c>
      <c r="DQ1" t="e">
        <f>AND(Teoria!P6,"AAAAAGPv/Xg=")</f>
        <v>#VALUE!</v>
      </c>
      <c r="DR1" t="e">
        <f>AND(Teoria!Q6,"AAAAAGPv/Xk=")</f>
        <v>#VALUE!</v>
      </c>
      <c r="DS1" t="e">
        <f>AND(Teoria!S6,"AAAAAGPv/Xo=")</f>
        <v>#VALUE!</v>
      </c>
      <c r="DT1" t="e">
        <f>AND(Teoria!#REF!,"AAAAAGPv/Xs=")</f>
        <v>#REF!</v>
      </c>
      <c r="DU1" t="e">
        <f>AND(Teoria!T6,"AAAAAGPv/Xw=")</f>
        <v>#VALUE!</v>
      </c>
      <c r="DV1" t="e">
        <f>AND(Teoria!U6,"AAAAAGPv/X0=")</f>
        <v>#VALUE!</v>
      </c>
      <c r="DW1">
        <f>IF(Teoria!7:7,"AAAAAGPv/X4=",0)</f>
        <v>0</v>
      </c>
      <c r="DX1" t="e">
        <f>AND(Teoria!A7,"AAAAAGPv/X8=")</f>
        <v>#VALUE!</v>
      </c>
      <c r="DY1" t="e">
        <f>AND(Teoria!#REF!,"AAAAAGPv/YA=")</f>
        <v>#REF!</v>
      </c>
      <c r="DZ1" t="e">
        <f>AND(Teoria!#REF!,"AAAAAGPv/YE=")</f>
        <v>#REF!</v>
      </c>
      <c r="EA1" t="e">
        <f>AND(Teoria!#REF!,"AAAAAGPv/YI=")</f>
        <v>#REF!</v>
      </c>
      <c r="EB1" t="e">
        <f>AND(Teoria!F7,"AAAAAGPv/YM=")</f>
        <v>#VALUE!</v>
      </c>
      <c r="EC1" t="e">
        <f>AND(Teoria!G7,"AAAAAGPv/YQ=")</f>
        <v>#VALUE!</v>
      </c>
      <c r="ED1" t="e">
        <f>AND(Teoria!H7,"AAAAAGPv/YU=")</f>
        <v>#VALUE!</v>
      </c>
      <c r="EE1" t="e">
        <f>AND(Teoria!I7,"AAAAAGPv/YY=")</f>
        <v>#VALUE!</v>
      </c>
      <c r="EF1" t="e">
        <f>AND(Teoria!J7,"AAAAAGPv/Yc=")</f>
        <v>#VALUE!</v>
      </c>
      <c r="EG1" t="e">
        <f>AND(Teoria!K7,"AAAAAGPv/Yg=")</f>
        <v>#VALUE!</v>
      </c>
      <c r="EH1" t="e">
        <f>AND(Teoria!L7,"AAAAAGPv/Yk=")</f>
        <v>#VALUE!</v>
      </c>
      <c r="EI1" t="e">
        <f>AND(Teoria!M7,"AAAAAGPv/Yo=")</f>
        <v>#VALUE!</v>
      </c>
      <c r="EJ1" t="e">
        <f>AND(Teoria!N7,"AAAAAGPv/Ys=")</f>
        <v>#VALUE!</v>
      </c>
      <c r="EK1" t="e">
        <f>AND(Teoria!O7,"AAAAAGPv/Yw=")</f>
        <v>#VALUE!</v>
      </c>
      <c r="EL1" t="e">
        <f>AND(Teoria!P7,"AAAAAGPv/Y0=")</f>
        <v>#VALUE!</v>
      </c>
      <c r="EM1" t="e">
        <f>AND(Teoria!Q7,"AAAAAGPv/Y4=")</f>
        <v>#VALUE!</v>
      </c>
      <c r="EN1" t="e">
        <f>AND(Teoria!S7,"AAAAAGPv/Y8=")</f>
        <v>#VALUE!</v>
      </c>
      <c r="EO1" t="e">
        <f>AND(Teoria!#REF!,"AAAAAGPv/ZA=")</f>
        <v>#REF!</v>
      </c>
      <c r="EP1" t="e">
        <f>AND(Teoria!T7,"AAAAAGPv/ZE=")</f>
        <v>#VALUE!</v>
      </c>
      <c r="EQ1" t="e">
        <f>AND(Teoria!U7,"AAAAAGPv/ZI=")</f>
        <v>#VALUE!</v>
      </c>
      <c r="ER1">
        <f>IF(Teoria!8:8,"AAAAAGPv/ZM=",0)</f>
        <v>0</v>
      </c>
      <c r="ES1" t="e">
        <f>AND(Teoria!A8,"AAAAAGPv/ZQ=")</f>
        <v>#VALUE!</v>
      </c>
      <c r="ET1" t="e">
        <f>AND(Teoria!#REF!,"AAAAAGPv/ZU=")</f>
        <v>#REF!</v>
      </c>
      <c r="EU1" t="e">
        <f>AND(Teoria!#REF!,"AAAAAGPv/ZY=")</f>
        <v>#REF!</v>
      </c>
      <c r="EV1" t="e">
        <f>AND(Teoria!#REF!,"AAAAAGPv/Zc=")</f>
        <v>#REF!</v>
      </c>
      <c r="EW1" t="e">
        <f>AND(Teoria!F8,"AAAAAGPv/Zg=")</f>
        <v>#VALUE!</v>
      </c>
      <c r="EX1" t="e">
        <f>AND(Teoria!G8,"AAAAAGPv/Zk=")</f>
        <v>#VALUE!</v>
      </c>
      <c r="EY1" t="e">
        <f>AND(Teoria!H8,"AAAAAGPv/Zo=")</f>
        <v>#VALUE!</v>
      </c>
      <c r="EZ1" t="e">
        <f>AND(Teoria!I8,"AAAAAGPv/Zs=")</f>
        <v>#VALUE!</v>
      </c>
      <c r="FA1" t="e">
        <f>AND(Teoria!J8,"AAAAAGPv/Zw=")</f>
        <v>#VALUE!</v>
      </c>
      <c r="FB1" t="e">
        <f>AND(Teoria!K8,"AAAAAGPv/Z0=")</f>
        <v>#VALUE!</v>
      </c>
      <c r="FC1" t="e">
        <f>AND(Teoria!L8,"AAAAAGPv/Z4=")</f>
        <v>#VALUE!</v>
      </c>
      <c r="FD1" t="e">
        <f>AND(Teoria!M8,"AAAAAGPv/Z8=")</f>
        <v>#VALUE!</v>
      </c>
      <c r="FE1" t="e">
        <f>AND(Teoria!N8,"AAAAAGPv/aA=")</f>
        <v>#VALUE!</v>
      </c>
      <c r="FF1" t="e">
        <f>AND(Teoria!O8,"AAAAAGPv/aE=")</f>
        <v>#VALUE!</v>
      </c>
      <c r="FG1" t="e">
        <f>AND(Teoria!P8,"AAAAAGPv/aI=")</f>
        <v>#VALUE!</v>
      </c>
      <c r="FH1" t="e">
        <f>AND(Teoria!Q8,"AAAAAGPv/aM=")</f>
        <v>#VALUE!</v>
      </c>
      <c r="FI1" t="e">
        <f>AND(Teoria!S8,"AAAAAGPv/aQ=")</f>
        <v>#VALUE!</v>
      </c>
      <c r="FJ1" t="e">
        <f>AND(Teoria!#REF!,"AAAAAGPv/aU=")</f>
        <v>#REF!</v>
      </c>
      <c r="FK1" t="e">
        <f>AND(Teoria!T8,"AAAAAGPv/aY=")</f>
        <v>#VALUE!</v>
      </c>
      <c r="FL1" t="e">
        <f>AND(Teoria!U8,"AAAAAGPv/ac=")</f>
        <v>#VALUE!</v>
      </c>
      <c r="FM1">
        <f>IF(Teoria!9:9,"AAAAAGPv/ag=",0)</f>
        <v>0</v>
      </c>
      <c r="FN1" t="e">
        <f>AND(Teoria!A9,"AAAAAGPv/ak=")</f>
        <v>#VALUE!</v>
      </c>
      <c r="FO1" t="e">
        <f>AND(Teoria!#REF!,"AAAAAGPv/ao=")</f>
        <v>#REF!</v>
      </c>
      <c r="FP1" t="e">
        <f>AND(Teoria!#REF!,"AAAAAGPv/as=")</f>
        <v>#REF!</v>
      </c>
      <c r="FQ1" t="e">
        <f>AND(Teoria!#REF!,"AAAAAGPv/aw=")</f>
        <v>#REF!</v>
      </c>
      <c r="FR1" t="b">
        <f>AND(Teoria!F9,"AAAAAGPv/a0=")</f>
        <v>1</v>
      </c>
      <c r="FS1" t="b">
        <f>AND(Teoria!G9,"AAAAAGPv/a4=")</f>
        <v>1</v>
      </c>
      <c r="FT1" t="b">
        <f>AND(Teoria!H9,"AAAAAGPv/a8=")</f>
        <v>1</v>
      </c>
      <c r="FU1" t="b">
        <f>AND(Teoria!I9,"AAAAAGPv/bA=")</f>
        <v>1</v>
      </c>
      <c r="FV1" t="b">
        <f>AND(Teoria!J9,"AAAAAGPv/bE=")</f>
        <v>1</v>
      </c>
      <c r="FW1" t="b">
        <f>AND(Teoria!K9,"AAAAAGPv/bI=")</f>
        <v>1</v>
      </c>
      <c r="FX1" t="b">
        <f>AND(Teoria!L9,"AAAAAGPv/bM=")</f>
        <v>1</v>
      </c>
      <c r="FY1" t="b">
        <f>AND(Teoria!M9,"AAAAAGPv/bQ=")</f>
        <v>1</v>
      </c>
      <c r="FZ1" t="b">
        <f>AND(Teoria!N9,"AAAAAGPv/bU=")</f>
        <v>1</v>
      </c>
      <c r="GA1" t="b">
        <f>AND(Teoria!O9,"AAAAAGPv/bY=")</f>
        <v>1</v>
      </c>
      <c r="GB1" t="b">
        <f>AND(Teoria!P9,"AAAAAGPv/bc=")</f>
        <v>1</v>
      </c>
      <c r="GC1" t="b">
        <f>AND(Teoria!Q9,"AAAAAGPv/bg=")</f>
        <v>1</v>
      </c>
      <c r="GD1" t="b">
        <f>AND(Teoria!S9,"AAAAAGPv/bk=")</f>
        <v>1</v>
      </c>
      <c r="GE1" t="e">
        <f>AND(Teoria!#REF!,"AAAAAGPv/bo=")</f>
        <v>#REF!</v>
      </c>
      <c r="GF1" t="b">
        <f>AND(Teoria!T9,"AAAAAGPv/bs=")</f>
        <v>1</v>
      </c>
      <c r="GG1" t="e">
        <f>AND(Teoria!U9,"AAAAAGPv/bw=")</f>
        <v>#VALUE!</v>
      </c>
      <c r="GH1">
        <f>IF(Teoria!10:10,"AAAAAGPv/b0=",0)</f>
        <v>0</v>
      </c>
      <c r="GI1" t="e">
        <f>AND(Teoria!A10,"AAAAAGPv/b4=")</f>
        <v>#VALUE!</v>
      </c>
      <c r="GJ1" t="e">
        <f>AND(Teoria!#REF!,"AAAAAGPv/b8=")</f>
        <v>#REF!</v>
      </c>
      <c r="GK1" t="e">
        <f>AND(Teoria!#REF!,"AAAAAGPv/cA=")</f>
        <v>#REF!</v>
      </c>
      <c r="GL1" t="e">
        <f>AND(Teoria!#REF!,"AAAAAGPv/cE=")</f>
        <v>#REF!</v>
      </c>
      <c r="GM1" t="b">
        <f>AND(Teoria!F10,"AAAAAGPv/cI=")</f>
        <v>1</v>
      </c>
      <c r="GN1" t="b">
        <f>AND(Teoria!G10,"AAAAAGPv/cM=")</f>
        <v>1</v>
      </c>
      <c r="GO1" t="b">
        <f>AND(Teoria!H10,"AAAAAGPv/cQ=")</f>
        <v>1</v>
      </c>
      <c r="GP1" t="b">
        <f>AND(Teoria!I10,"AAAAAGPv/cU=")</f>
        <v>1</v>
      </c>
      <c r="GQ1" t="b">
        <f>AND(Teoria!J10,"AAAAAGPv/cY=")</f>
        <v>1</v>
      </c>
      <c r="GR1" t="b">
        <f>AND(Teoria!K10,"AAAAAGPv/cc=")</f>
        <v>1</v>
      </c>
      <c r="GS1" t="b">
        <f>AND(Teoria!L10,"AAAAAGPv/cg=")</f>
        <v>1</v>
      </c>
      <c r="GT1" t="b">
        <f>AND(Teoria!M10,"AAAAAGPv/ck=")</f>
        <v>1</v>
      </c>
      <c r="GU1" t="b">
        <f>AND(Teoria!N10,"AAAAAGPv/co=")</f>
        <v>1</v>
      </c>
      <c r="GV1" t="b">
        <f>AND(Teoria!O10,"AAAAAGPv/cs=")</f>
        <v>1</v>
      </c>
      <c r="GW1" t="b">
        <f>AND(Teoria!P10,"AAAAAGPv/cw=")</f>
        <v>1</v>
      </c>
      <c r="GX1" t="b">
        <f>AND(Teoria!Q10,"AAAAAGPv/c0=")</f>
        <v>1</v>
      </c>
      <c r="GY1" t="b">
        <f>AND(Teoria!S10,"AAAAAGPv/c4=")</f>
        <v>1</v>
      </c>
      <c r="GZ1" t="e">
        <f>AND(Teoria!#REF!,"AAAAAGPv/c8=")</f>
        <v>#REF!</v>
      </c>
      <c r="HA1" t="b">
        <f>AND(Teoria!T10,"AAAAAGPv/dA=")</f>
        <v>1</v>
      </c>
      <c r="HB1" t="e">
        <f>AND(Teoria!U10,"AAAAAGPv/dE=")</f>
        <v>#VALUE!</v>
      </c>
      <c r="HC1">
        <f>IF(Teoria!11:11,"AAAAAGPv/dI=",0)</f>
        <v>0</v>
      </c>
      <c r="HD1" t="e">
        <f>AND(Teoria!A11,"AAAAAGPv/dM=")</f>
        <v>#VALUE!</v>
      </c>
      <c r="HE1" t="e">
        <f>AND(Teoria!#REF!,"AAAAAGPv/dQ=")</f>
        <v>#REF!</v>
      </c>
      <c r="HF1" t="e">
        <f>AND(Teoria!#REF!,"AAAAAGPv/dU=")</f>
        <v>#REF!</v>
      </c>
      <c r="HG1" t="e">
        <f>AND(Teoria!#REF!,"AAAAAGPv/dY=")</f>
        <v>#REF!</v>
      </c>
      <c r="HH1" t="b">
        <f>AND(Teoria!F11,"AAAAAGPv/dc=")</f>
        <v>1</v>
      </c>
      <c r="HI1" t="b">
        <f>AND(Teoria!G11,"AAAAAGPv/dg=")</f>
        <v>1</v>
      </c>
      <c r="HJ1" t="b">
        <f>AND(Teoria!H11,"AAAAAGPv/dk=")</f>
        <v>0</v>
      </c>
      <c r="HK1" t="b">
        <f>AND(Teoria!I11,"AAAAAGPv/do=")</f>
        <v>0</v>
      </c>
      <c r="HL1" t="b">
        <f>AND(Teoria!J11,"AAAAAGPv/ds=")</f>
        <v>1</v>
      </c>
      <c r="HM1" t="b">
        <f>AND(Teoria!K11,"AAAAAGPv/dw=")</f>
        <v>1</v>
      </c>
      <c r="HN1" t="b">
        <f>AND(Teoria!L11,"AAAAAGPv/d0=")</f>
        <v>0</v>
      </c>
      <c r="HO1" t="b">
        <f>AND(Teoria!M11,"AAAAAGPv/d4=")</f>
        <v>0</v>
      </c>
      <c r="HP1" t="b">
        <f>AND(Teoria!N11,"AAAAAGPv/d8=")</f>
        <v>0</v>
      </c>
      <c r="HQ1" t="b">
        <f>AND(Teoria!O11,"AAAAAGPv/eA=")</f>
        <v>0</v>
      </c>
      <c r="HR1" t="b">
        <f>AND(Teoria!P11,"AAAAAGPv/eE=")</f>
        <v>0</v>
      </c>
      <c r="HS1" t="b">
        <f>AND(Teoria!Q11,"AAAAAGPv/eI=")</f>
        <v>0</v>
      </c>
      <c r="HT1" t="b">
        <f>AND(Teoria!S11,"AAAAAGPv/eM=")</f>
        <v>1</v>
      </c>
      <c r="HU1" t="e">
        <f>AND(Teoria!#REF!,"AAAAAGPv/eQ=")</f>
        <v>#REF!</v>
      </c>
      <c r="HV1" t="b">
        <f>AND(Teoria!T11,"AAAAAGPv/eU=")</f>
        <v>1</v>
      </c>
      <c r="HW1" t="e">
        <f>AND(Teoria!U11,"AAAAAGPv/eY=")</f>
        <v>#VALUE!</v>
      </c>
      <c r="HX1" t="e">
        <f>IF(Teoria!#REF!,"AAAAAGPv/ec=",0)</f>
        <v>#REF!</v>
      </c>
      <c r="HY1" t="e">
        <f>AND(Teoria!#REF!,"AAAAAGPv/eg=")</f>
        <v>#REF!</v>
      </c>
      <c r="HZ1" t="e">
        <f>AND(Teoria!#REF!,"AAAAAGPv/ek=")</f>
        <v>#REF!</v>
      </c>
      <c r="IA1" t="e">
        <f>AND(Teoria!#REF!,"AAAAAGPv/eo=")</f>
        <v>#REF!</v>
      </c>
      <c r="IB1" t="e">
        <f>AND(Teoria!#REF!,"AAAAAGPv/es=")</f>
        <v>#REF!</v>
      </c>
      <c r="IC1" t="e">
        <f>AND(Teoria!#REF!,"AAAAAGPv/ew=")</f>
        <v>#REF!</v>
      </c>
      <c r="ID1" t="e">
        <f>AND(Teoria!#REF!,"AAAAAGPv/e0=")</f>
        <v>#REF!</v>
      </c>
      <c r="IE1" t="e">
        <f>AND(Teoria!#REF!,"AAAAAGPv/e4=")</f>
        <v>#REF!</v>
      </c>
      <c r="IF1" t="e">
        <f>AND(Teoria!#REF!,"AAAAAGPv/e8=")</f>
        <v>#REF!</v>
      </c>
      <c r="IG1" t="e">
        <f>AND(Teoria!#REF!,"AAAAAGPv/fA=")</f>
        <v>#REF!</v>
      </c>
      <c r="IH1" t="e">
        <f>AND(Teoria!#REF!,"AAAAAGPv/fE=")</f>
        <v>#REF!</v>
      </c>
      <c r="II1" t="e">
        <f>AND(Teoria!#REF!,"AAAAAGPv/fI=")</f>
        <v>#REF!</v>
      </c>
      <c r="IJ1" t="e">
        <f>AND(Teoria!#REF!,"AAAAAGPv/fM=")</f>
        <v>#REF!</v>
      </c>
      <c r="IK1" t="e">
        <f>AND(Teoria!#REF!,"AAAAAGPv/fQ=")</f>
        <v>#REF!</v>
      </c>
      <c r="IL1" t="e">
        <f>AND(Teoria!#REF!,"AAAAAGPv/fU=")</f>
        <v>#REF!</v>
      </c>
      <c r="IM1" t="e">
        <f>AND(Teoria!#REF!,"AAAAAGPv/fY=")</f>
        <v>#REF!</v>
      </c>
      <c r="IN1" t="e">
        <f>AND(Teoria!#REF!,"AAAAAGPv/fc=")</f>
        <v>#REF!</v>
      </c>
      <c r="IO1" t="e">
        <f>AND(Teoria!#REF!,"AAAAAGPv/fg=")</f>
        <v>#REF!</v>
      </c>
      <c r="IP1" t="e">
        <f>AND(Teoria!#REF!,"AAAAAGPv/fk=")</f>
        <v>#REF!</v>
      </c>
      <c r="IQ1" t="e">
        <f>AND(Teoria!#REF!,"AAAAAGPv/fo=")</f>
        <v>#REF!</v>
      </c>
      <c r="IR1" t="e">
        <f>AND(Teoria!#REF!,"AAAAAGPv/fs=")</f>
        <v>#REF!</v>
      </c>
      <c r="IS1">
        <f>IF(Teoria!12:12,"AAAAAGPv/fw=",0)</f>
        <v>0</v>
      </c>
      <c r="IT1" t="e">
        <f>AND(Teoria!A12,"AAAAAGPv/f0=")</f>
        <v>#VALUE!</v>
      </c>
      <c r="IU1" t="e">
        <f>AND(Teoria!#REF!,"AAAAAGPv/f4=")</f>
        <v>#REF!</v>
      </c>
      <c r="IV1" t="e">
        <f>AND(Teoria!#REF!,"AAAAAGPv/f8=")</f>
        <v>#REF!</v>
      </c>
    </row>
    <row r="2" spans="1:256" x14ac:dyDescent="0.35">
      <c r="A2" t="e">
        <f>AND(Teoria!#REF!,"AAAAAHf+/wA=")</f>
        <v>#REF!</v>
      </c>
      <c r="B2" t="b">
        <f>AND(Teoria!F12,"AAAAAHf+/wE=")</f>
        <v>1</v>
      </c>
      <c r="C2" t="b">
        <f>AND(Teoria!G12,"AAAAAHf+/wI=")</f>
        <v>1</v>
      </c>
      <c r="D2" t="b">
        <f>AND(Teoria!H12,"AAAAAHf+/wM=")</f>
        <v>1</v>
      </c>
      <c r="E2" t="b">
        <f>AND(Teoria!I12,"AAAAAHf+/wQ=")</f>
        <v>1</v>
      </c>
      <c r="F2" t="b">
        <f>AND(Teoria!J12,"AAAAAHf+/wU=")</f>
        <v>1</v>
      </c>
      <c r="G2" t="b">
        <f>AND(Teoria!K12,"AAAAAHf+/wY=")</f>
        <v>1</v>
      </c>
      <c r="H2" t="b">
        <f>AND(Teoria!L12,"AAAAAHf+/wc=")</f>
        <v>1</v>
      </c>
      <c r="I2" t="b">
        <f>AND(Teoria!M12,"AAAAAHf+/wg=")</f>
        <v>1</v>
      </c>
      <c r="J2" t="b">
        <f>AND(Teoria!N12,"AAAAAHf+/wk=")</f>
        <v>1</v>
      </c>
      <c r="K2" t="b">
        <f>AND(Teoria!O12,"AAAAAHf+/wo=")</f>
        <v>1</v>
      </c>
      <c r="L2" t="b">
        <f>AND(Teoria!P12,"AAAAAHf+/ws=")</f>
        <v>1</v>
      </c>
      <c r="M2" t="b">
        <f>AND(Teoria!Q12,"AAAAAHf+/ww=")</f>
        <v>1</v>
      </c>
      <c r="N2" t="b">
        <f>AND(Teoria!S12,"AAAAAHf+/w0=")</f>
        <v>1</v>
      </c>
      <c r="O2" t="e">
        <f>AND(Teoria!#REF!,"AAAAAHf+/w4=")</f>
        <v>#REF!</v>
      </c>
      <c r="P2" t="b">
        <f>AND(Teoria!T12,"AAAAAHf+/w8=")</f>
        <v>1</v>
      </c>
      <c r="Q2" t="e">
        <f>AND(Teoria!U12,"AAAAAHf+/xA=")</f>
        <v>#VALUE!</v>
      </c>
      <c r="R2" t="str">
        <f>IF(Teoria!13:13,"AAAAAHf+/xE=",0)</f>
        <v>AAAAAHf+/xE=</v>
      </c>
      <c r="S2" t="e">
        <f>AND(Teoria!A13,"AAAAAHf+/xI=")</f>
        <v>#VALUE!</v>
      </c>
      <c r="T2" t="e">
        <f>AND(Teoria!#REF!,"AAAAAHf+/xM=")</f>
        <v>#REF!</v>
      </c>
      <c r="U2" t="e">
        <f>AND(Teoria!#REF!,"AAAAAHf+/xQ=")</f>
        <v>#REF!</v>
      </c>
      <c r="V2" t="e">
        <f>AND(Teoria!#REF!,"AAAAAHf+/xU=")</f>
        <v>#REF!</v>
      </c>
      <c r="W2" t="b">
        <f>AND(Teoria!F13,"AAAAAHf+/xY=")</f>
        <v>1</v>
      </c>
      <c r="X2" t="b">
        <f>AND(Teoria!G13,"AAAAAHf+/xc=")</f>
        <v>1</v>
      </c>
      <c r="Y2" t="b">
        <f>AND(Teoria!H13,"AAAAAHf+/xg=")</f>
        <v>1</v>
      </c>
      <c r="Z2" t="b">
        <f>AND(Teoria!I13,"AAAAAHf+/xk=")</f>
        <v>1</v>
      </c>
      <c r="AA2" t="b">
        <f>AND(Teoria!J13,"AAAAAHf+/xo=")</f>
        <v>1</v>
      </c>
      <c r="AB2" t="b">
        <f>AND(Teoria!K13,"AAAAAHf+/xs=")</f>
        <v>1</v>
      </c>
      <c r="AC2" t="b">
        <f>AND(Teoria!L13,"AAAAAHf+/xw=")</f>
        <v>1</v>
      </c>
      <c r="AD2" t="b">
        <f>AND(Teoria!M13,"AAAAAHf+/x0=")</f>
        <v>1</v>
      </c>
      <c r="AE2" t="b">
        <f>AND(Teoria!N13,"AAAAAHf+/x4=")</f>
        <v>1</v>
      </c>
      <c r="AF2" t="b">
        <f>AND(Teoria!O13,"AAAAAHf+/x8=")</f>
        <v>1</v>
      </c>
      <c r="AG2" t="b">
        <f>AND(Teoria!P13,"AAAAAHf+/yA=")</f>
        <v>0</v>
      </c>
      <c r="AH2" t="b">
        <f>AND(Teoria!Q13,"AAAAAHf+/yE=")</f>
        <v>1</v>
      </c>
      <c r="AI2" t="b">
        <f>AND(Teoria!S13,"AAAAAHf+/yI=")</f>
        <v>1</v>
      </c>
      <c r="AJ2" t="e">
        <f>AND(Teoria!#REF!,"AAAAAHf+/yM=")</f>
        <v>#REF!</v>
      </c>
      <c r="AK2" t="b">
        <f>AND(Teoria!T13,"AAAAAHf+/yQ=")</f>
        <v>1</v>
      </c>
      <c r="AL2" t="e">
        <f>AND(Teoria!U13,"AAAAAHf+/yU=")</f>
        <v>#VALUE!</v>
      </c>
      <c r="AM2">
        <f>IF(Teoria!14:14,"AAAAAHf+/yY=",0)</f>
        <v>0</v>
      </c>
      <c r="AN2" t="e">
        <f>AND(Teoria!A14,"AAAAAHf+/yc=")</f>
        <v>#VALUE!</v>
      </c>
      <c r="AO2" t="e">
        <f>AND(Teoria!#REF!,"AAAAAHf+/yg=")</f>
        <v>#REF!</v>
      </c>
      <c r="AP2" t="e">
        <f>AND(Teoria!#REF!,"AAAAAHf+/yk=")</f>
        <v>#REF!</v>
      </c>
      <c r="AQ2" t="e">
        <f>AND(Teoria!#REF!,"AAAAAHf+/yo=")</f>
        <v>#REF!</v>
      </c>
      <c r="AR2" t="b">
        <f>AND(Teoria!F14,"AAAAAHf+/ys=")</f>
        <v>1</v>
      </c>
      <c r="AS2" t="b">
        <f>AND(Teoria!G14,"AAAAAHf+/yw=")</f>
        <v>1</v>
      </c>
      <c r="AT2" t="b">
        <f>AND(Teoria!H14,"AAAAAHf+/y0=")</f>
        <v>1</v>
      </c>
      <c r="AU2" t="b">
        <f>AND(Teoria!I14,"AAAAAHf+/y4=")</f>
        <v>1</v>
      </c>
      <c r="AV2" t="b">
        <f>AND(Teoria!J14,"AAAAAHf+/y8=")</f>
        <v>1</v>
      </c>
      <c r="AW2" t="b">
        <f>AND(Teoria!K14,"AAAAAHf+/zA=")</f>
        <v>1</v>
      </c>
      <c r="AX2" t="b">
        <f>AND(Teoria!L14,"AAAAAHf+/zE=")</f>
        <v>1</v>
      </c>
      <c r="AY2" t="b">
        <f>AND(Teoria!M14,"AAAAAHf+/zI=")</f>
        <v>1</v>
      </c>
      <c r="AZ2" t="b">
        <f>AND(Teoria!N14,"AAAAAHf+/zM=")</f>
        <v>1</v>
      </c>
      <c r="BA2" t="b">
        <f>AND(Teoria!O14,"AAAAAHf+/zQ=")</f>
        <v>1</v>
      </c>
      <c r="BB2" t="b">
        <f>AND(Teoria!P14,"AAAAAHf+/zU=")</f>
        <v>1</v>
      </c>
      <c r="BC2" t="b">
        <f>AND(Teoria!Q14,"AAAAAHf+/zY=")</f>
        <v>1</v>
      </c>
      <c r="BD2" t="b">
        <f>AND(Teoria!S14,"AAAAAHf+/zc=")</f>
        <v>1</v>
      </c>
      <c r="BE2" t="e">
        <f>AND(Teoria!#REF!,"AAAAAHf+/zg=")</f>
        <v>#REF!</v>
      </c>
      <c r="BF2" t="b">
        <f>AND(Teoria!T14,"AAAAAHf+/zk=")</f>
        <v>1</v>
      </c>
      <c r="BG2" t="e">
        <f>AND(Teoria!U14,"AAAAAHf+/zo=")</f>
        <v>#VALUE!</v>
      </c>
      <c r="BH2">
        <f>IF(Teoria!15:15,"AAAAAHf+/zs=",0)</f>
        <v>0</v>
      </c>
      <c r="BI2" t="e">
        <f>AND(Teoria!A15,"AAAAAHf+/zw=")</f>
        <v>#VALUE!</v>
      </c>
      <c r="BJ2" t="e">
        <f>AND(Teoria!#REF!,"AAAAAHf+/z0=")</f>
        <v>#REF!</v>
      </c>
      <c r="BK2" t="e">
        <f>AND(Teoria!#REF!,"AAAAAHf+/z4=")</f>
        <v>#REF!</v>
      </c>
      <c r="BL2" t="e">
        <f>AND(Teoria!#REF!,"AAAAAHf+/z8=")</f>
        <v>#REF!</v>
      </c>
      <c r="BM2" t="b">
        <f>AND(Teoria!F15,"AAAAAHf+/0A=")</f>
        <v>1</v>
      </c>
      <c r="BN2" t="b">
        <f>AND(Teoria!G15,"AAAAAHf+/0E=")</f>
        <v>1</v>
      </c>
      <c r="BO2" t="b">
        <f>AND(Teoria!H15,"AAAAAHf+/0I=")</f>
        <v>1</v>
      </c>
      <c r="BP2" t="b">
        <f>AND(Teoria!I15,"AAAAAHf+/0M=")</f>
        <v>1</v>
      </c>
      <c r="BQ2" t="b">
        <f>AND(Teoria!J15,"AAAAAHf+/0Q=")</f>
        <v>1</v>
      </c>
      <c r="BR2" t="b">
        <f>AND(Teoria!K15,"AAAAAHf+/0U=")</f>
        <v>1</v>
      </c>
      <c r="BS2" t="b">
        <f>AND(Teoria!L15,"AAAAAHf+/0Y=")</f>
        <v>1</v>
      </c>
      <c r="BT2" t="b">
        <f>AND(Teoria!M15,"AAAAAHf+/0c=")</f>
        <v>1</v>
      </c>
      <c r="BU2" t="b">
        <f>AND(Teoria!N15,"AAAAAHf+/0g=")</f>
        <v>1</v>
      </c>
      <c r="BV2" t="b">
        <f>AND(Teoria!O15,"AAAAAHf+/0k=")</f>
        <v>1</v>
      </c>
      <c r="BW2" t="b">
        <f>AND(Teoria!P15,"AAAAAHf+/0o=")</f>
        <v>1</v>
      </c>
      <c r="BX2" t="b">
        <f>AND(Teoria!Q15,"AAAAAHf+/0s=")</f>
        <v>1</v>
      </c>
      <c r="BY2" t="b">
        <f>AND(Teoria!S15,"AAAAAHf+/0w=")</f>
        <v>1</v>
      </c>
      <c r="BZ2" t="e">
        <f>AND(Teoria!#REF!,"AAAAAHf+/00=")</f>
        <v>#REF!</v>
      </c>
      <c r="CA2" t="b">
        <f>AND(Teoria!T15,"AAAAAHf+/04=")</f>
        <v>1</v>
      </c>
      <c r="CB2" t="e">
        <f>AND(Teoria!U15,"AAAAAHf+/08=")</f>
        <v>#VALUE!</v>
      </c>
      <c r="CC2">
        <f>IF(Teoria!16:16,"AAAAAHf+/1A=",0)</f>
        <v>0</v>
      </c>
      <c r="CD2" t="e">
        <f>AND(Teoria!A16,"AAAAAHf+/1E=")</f>
        <v>#VALUE!</v>
      </c>
      <c r="CE2" t="e">
        <f>AND(Teoria!#REF!,"AAAAAHf+/1I=")</f>
        <v>#REF!</v>
      </c>
      <c r="CF2" t="e">
        <f>AND(Teoria!#REF!,"AAAAAHf+/1M=")</f>
        <v>#REF!</v>
      </c>
      <c r="CG2" t="e">
        <f>AND(Teoria!#REF!,"AAAAAHf+/1Q=")</f>
        <v>#REF!</v>
      </c>
      <c r="CH2" t="b">
        <f>AND(Teoria!F16,"AAAAAHf+/1U=")</f>
        <v>1</v>
      </c>
      <c r="CI2" t="b">
        <f>AND(Teoria!G16,"AAAAAHf+/1Y=")</f>
        <v>1</v>
      </c>
      <c r="CJ2" t="b">
        <f>AND(Teoria!H16,"AAAAAHf+/1c=")</f>
        <v>1</v>
      </c>
      <c r="CK2" t="b">
        <f>AND(Teoria!I16,"AAAAAHf+/1g=")</f>
        <v>1</v>
      </c>
      <c r="CL2" t="b">
        <f>AND(Teoria!J16,"AAAAAHf+/1k=")</f>
        <v>1</v>
      </c>
      <c r="CM2" t="b">
        <f>AND(Teoria!K16,"AAAAAHf+/1o=")</f>
        <v>1</v>
      </c>
      <c r="CN2" t="b">
        <f>AND(Teoria!L16,"AAAAAHf+/1s=")</f>
        <v>1</v>
      </c>
      <c r="CO2" t="b">
        <f>AND(Teoria!M16,"AAAAAHf+/1w=")</f>
        <v>1</v>
      </c>
      <c r="CP2" t="b">
        <f>AND(Teoria!N16,"AAAAAHf+/10=")</f>
        <v>1</v>
      </c>
      <c r="CQ2" t="b">
        <f>AND(Teoria!O16,"AAAAAHf+/14=")</f>
        <v>1</v>
      </c>
      <c r="CR2" t="b">
        <f>AND(Teoria!P16,"AAAAAHf+/18=")</f>
        <v>1</v>
      </c>
      <c r="CS2" t="b">
        <f>AND(Teoria!Q16,"AAAAAHf+/2A=")</f>
        <v>1</v>
      </c>
      <c r="CT2" t="b">
        <f>AND(Teoria!S16,"AAAAAHf+/2E=")</f>
        <v>1</v>
      </c>
      <c r="CU2" t="e">
        <f>AND(Teoria!#REF!,"AAAAAHf+/2I=")</f>
        <v>#REF!</v>
      </c>
      <c r="CV2" t="b">
        <f>AND(Teoria!T16,"AAAAAHf+/2M=")</f>
        <v>1</v>
      </c>
      <c r="CW2" t="e">
        <f>AND(Teoria!U16,"AAAAAHf+/2Q=")</f>
        <v>#VALUE!</v>
      </c>
      <c r="CX2">
        <f>IF(Teoria!17:17,"AAAAAHf+/2U=",0)</f>
        <v>0</v>
      </c>
      <c r="CY2" t="e">
        <f>AND(Teoria!A17,"AAAAAHf+/2Y=")</f>
        <v>#VALUE!</v>
      </c>
      <c r="CZ2" t="e">
        <f>AND(Teoria!#REF!,"AAAAAHf+/2c=")</f>
        <v>#REF!</v>
      </c>
      <c r="DA2" t="e">
        <f>AND(Teoria!#REF!,"AAAAAHf+/2g=")</f>
        <v>#REF!</v>
      </c>
      <c r="DB2" t="e">
        <f>AND(Teoria!#REF!,"AAAAAHf+/2k=")</f>
        <v>#REF!</v>
      </c>
      <c r="DC2" t="b">
        <f>AND(Teoria!F17,"AAAAAHf+/2o=")</f>
        <v>1</v>
      </c>
      <c r="DD2" t="b">
        <f>AND(Teoria!G17,"AAAAAHf+/2s=")</f>
        <v>1</v>
      </c>
      <c r="DE2" t="b">
        <f>AND(Teoria!H17,"AAAAAHf+/2w=")</f>
        <v>1</v>
      </c>
      <c r="DF2" t="b">
        <f>AND(Teoria!I17,"AAAAAHf+/20=")</f>
        <v>1</v>
      </c>
      <c r="DG2" t="b">
        <f>AND(Teoria!J17,"AAAAAHf+/24=")</f>
        <v>1</v>
      </c>
      <c r="DH2" t="b">
        <f>AND(Teoria!K17,"AAAAAHf+/28=")</f>
        <v>1</v>
      </c>
      <c r="DI2" t="b">
        <f>AND(Teoria!L17,"AAAAAHf+/3A=")</f>
        <v>1</v>
      </c>
      <c r="DJ2" t="b">
        <f>AND(Teoria!M17,"AAAAAHf+/3E=")</f>
        <v>1</v>
      </c>
      <c r="DK2" t="b">
        <f>AND(Teoria!N17,"AAAAAHf+/3I=")</f>
        <v>1</v>
      </c>
      <c r="DL2" t="b">
        <f>AND(Teoria!O17,"AAAAAHf+/3M=")</f>
        <v>1</v>
      </c>
      <c r="DM2" t="b">
        <f>AND(Teoria!P17,"AAAAAHf+/3Q=")</f>
        <v>1</v>
      </c>
      <c r="DN2" t="b">
        <f>AND(Teoria!Q17,"AAAAAHf+/3U=")</f>
        <v>1</v>
      </c>
      <c r="DO2" t="b">
        <f>AND(Teoria!S17,"AAAAAHf+/3Y=")</f>
        <v>1</v>
      </c>
      <c r="DP2" t="e">
        <f>AND(Teoria!#REF!,"AAAAAHf+/3c=")</f>
        <v>#REF!</v>
      </c>
      <c r="DQ2" t="b">
        <f>AND(Teoria!T17,"AAAAAHf+/3g=")</f>
        <v>1</v>
      </c>
      <c r="DR2" t="e">
        <f>AND(Teoria!U17,"AAAAAHf+/3k=")</f>
        <v>#VALUE!</v>
      </c>
      <c r="DS2">
        <f>IF(Teoria!18:18,"AAAAAHf+/3o=",0)</f>
        <v>0</v>
      </c>
      <c r="DT2" t="e">
        <f>AND(Teoria!A18,"AAAAAHf+/3s=")</f>
        <v>#VALUE!</v>
      </c>
      <c r="DU2" t="e">
        <f>AND(Teoria!#REF!,"AAAAAHf+/3w=")</f>
        <v>#REF!</v>
      </c>
      <c r="DV2" t="e">
        <f>AND(Teoria!#REF!,"AAAAAHf+/30=")</f>
        <v>#REF!</v>
      </c>
      <c r="DW2" t="e">
        <f>AND(Teoria!#REF!,"AAAAAHf+/34=")</f>
        <v>#REF!</v>
      </c>
      <c r="DX2" t="b">
        <f>AND(Teoria!F18,"AAAAAHf+/38=")</f>
        <v>1</v>
      </c>
      <c r="DY2" t="b">
        <f>AND(Teoria!G18,"AAAAAHf+/4A=")</f>
        <v>1</v>
      </c>
      <c r="DZ2" t="b">
        <f>AND(Teoria!H18,"AAAAAHf+/4E=")</f>
        <v>1</v>
      </c>
      <c r="EA2" t="b">
        <f>AND(Teoria!I18,"AAAAAHf+/4I=")</f>
        <v>1</v>
      </c>
      <c r="EB2" t="b">
        <f>AND(Teoria!J18,"AAAAAHf+/4M=")</f>
        <v>1</v>
      </c>
      <c r="EC2" t="b">
        <f>AND(Teoria!K18,"AAAAAHf+/4Q=")</f>
        <v>1</v>
      </c>
      <c r="ED2" t="b">
        <f>AND(Teoria!L18,"AAAAAHf+/4U=")</f>
        <v>1</v>
      </c>
      <c r="EE2" t="b">
        <f>AND(Teoria!M18,"AAAAAHf+/4Y=")</f>
        <v>1</v>
      </c>
      <c r="EF2" t="b">
        <f>AND(Teoria!N18,"AAAAAHf+/4c=")</f>
        <v>1</v>
      </c>
      <c r="EG2" t="b">
        <f>AND(Teoria!O18,"AAAAAHf+/4g=")</f>
        <v>1</v>
      </c>
      <c r="EH2" t="b">
        <f>AND(Teoria!P18,"AAAAAHf+/4k=")</f>
        <v>1</v>
      </c>
      <c r="EI2" t="b">
        <f>AND(Teoria!Q18,"AAAAAHf+/4o=")</f>
        <v>1</v>
      </c>
      <c r="EJ2" t="b">
        <f>AND(Teoria!S18,"AAAAAHf+/4s=")</f>
        <v>1</v>
      </c>
      <c r="EK2" t="e">
        <f>AND(Teoria!#REF!,"AAAAAHf+/4w=")</f>
        <v>#REF!</v>
      </c>
      <c r="EL2" t="b">
        <f>AND(Teoria!T18,"AAAAAHf+/40=")</f>
        <v>1</v>
      </c>
      <c r="EM2" t="e">
        <f>AND(Teoria!U18,"AAAAAHf+/44=")</f>
        <v>#VALUE!</v>
      </c>
      <c r="EN2">
        <f>IF(Teoria!19:19,"AAAAAHf+/48=",0)</f>
        <v>0</v>
      </c>
      <c r="EO2" t="e">
        <f>AND(Teoria!A19,"AAAAAHf+/5A=")</f>
        <v>#VALUE!</v>
      </c>
      <c r="EP2" t="e">
        <f>AND(Teoria!#REF!,"AAAAAHf+/5E=")</f>
        <v>#REF!</v>
      </c>
      <c r="EQ2" t="e">
        <f>AND(Teoria!#REF!,"AAAAAHf+/5I=")</f>
        <v>#REF!</v>
      </c>
      <c r="ER2" t="e">
        <f>AND(Teoria!#REF!,"AAAAAHf+/5M=")</f>
        <v>#REF!</v>
      </c>
      <c r="ES2" t="b">
        <f>AND(Teoria!F19,"AAAAAHf+/5Q=")</f>
        <v>1</v>
      </c>
      <c r="ET2" t="b">
        <f>AND(Teoria!G19,"AAAAAHf+/5U=")</f>
        <v>1</v>
      </c>
      <c r="EU2" t="b">
        <f>AND(Teoria!H19,"AAAAAHf+/5Y=")</f>
        <v>1</v>
      </c>
      <c r="EV2" t="b">
        <f>AND(Teoria!I19,"AAAAAHf+/5c=")</f>
        <v>1</v>
      </c>
      <c r="EW2" t="b">
        <f>AND(Teoria!J19,"AAAAAHf+/5g=")</f>
        <v>1</v>
      </c>
      <c r="EX2" t="b">
        <f>AND(Teoria!K19,"AAAAAHf+/5k=")</f>
        <v>1</v>
      </c>
      <c r="EY2" t="b">
        <f>AND(Teoria!L19,"AAAAAHf+/5o=")</f>
        <v>1</v>
      </c>
      <c r="EZ2" t="b">
        <f>AND(Teoria!M19,"AAAAAHf+/5s=")</f>
        <v>1</v>
      </c>
      <c r="FA2" t="b">
        <f>AND(Teoria!N19,"AAAAAHf+/5w=")</f>
        <v>1</v>
      </c>
      <c r="FB2" t="b">
        <f>AND(Teoria!O19,"AAAAAHf+/50=")</f>
        <v>1</v>
      </c>
      <c r="FC2" t="b">
        <f>AND(Teoria!P19,"AAAAAHf+/54=")</f>
        <v>1</v>
      </c>
      <c r="FD2" t="b">
        <f>AND(Teoria!Q19,"AAAAAHf+/58=")</f>
        <v>1</v>
      </c>
      <c r="FE2" t="b">
        <f>AND(Teoria!S19,"AAAAAHf+/6A=")</f>
        <v>1</v>
      </c>
      <c r="FF2" t="e">
        <f>AND(Teoria!#REF!,"AAAAAHf+/6E=")</f>
        <v>#REF!</v>
      </c>
      <c r="FG2" t="b">
        <f>AND(Teoria!T19,"AAAAAHf+/6I=")</f>
        <v>1</v>
      </c>
      <c r="FH2" t="e">
        <f>AND(Teoria!U19,"AAAAAHf+/6M=")</f>
        <v>#VALUE!</v>
      </c>
      <c r="FI2">
        <f>IF(Teoria!20:20,"AAAAAHf+/6Q=",0)</f>
        <v>0</v>
      </c>
      <c r="FJ2" t="e">
        <f>AND(Teoria!A20,"AAAAAHf+/6U=")</f>
        <v>#VALUE!</v>
      </c>
      <c r="FK2" t="e">
        <f>AND(Teoria!#REF!,"AAAAAHf+/6Y=")</f>
        <v>#REF!</v>
      </c>
      <c r="FL2" t="e">
        <f>AND(Teoria!#REF!,"AAAAAHf+/6c=")</f>
        <v>#REF!</v>
      </c>
      <c r="FM2" t="e">
        <f>AND(Teoria!#REF!,"AAAAAHf+/6g=")</f>
        <v>#REF!</v>
      </c>
      <c r="FN2" t="b">
        <f>AND(Teoria!F20,"AAAAAHf+/6k=")</f>
        <v>1</v>
      </c>
      <c r="FO2" t="b">
        <f>AND(Teoria!G20,"AAAAAHf+/6o=")</f>
        <v>1</v>
      </c>
      <c r="FP2" t="b">
        <f>AND(Teoria!H20,"AAAAAHf+/6s=")</f>
        <v>1</v>
      </c>
      <c r="FQ2" t="b">
        <f>AND(Teoria!I20,"AAAAAHf+/6w=")</f>
        <v>1</v>
      </c>
      <c r="FR2" t="b">
        <f>AND(Teoria!J20,"AAAAAHf+/60=")</f>
        <v>1</v>
      </c>
      <c r="FS2" t="b">
        <f>AND(Teoria!K20,"AAAAAHf+/64=")</f>
        <v>1</v>
      </c>
      <c r="FT2" t="b">
        <f>AND(Teoria!L20,"AAAAAHf+/68=")</f>
        <v>1</v>
      </c>
      <c r="FU2" t="b">
        <f>AND(Teoria!M20,"AAAAAHf+/7A=")</f>
        <v>1</v>
      </c>
      <c r="FV2" t="b">
        <f>AND(Teoria!N20,"AAAAAHf+/7E=")</f>
        <v>1</v>
      </c>
      <c r="FW2" t="b">
        <f>AND(Teoria!O20,"AAAAAHf+/7I=")</f>
        <v>1</v>
      </c>
      <c r="FX2" t="b">
        <f>AND(Teoria!P20,"AAAAAHf+/7M=")</f>
        <v>1</v>
      </c>
      <c r="FY2" t="b">
        <f>AND(Teoria!Q20,"AAAAAHf+/7Q=")</f>
        <v>1</v>
      </c>
      <c r="FZ2" t="b">
        <f>AND(Teoria!S20,"AAAAAHf+/7U=")</f>
        <v>1</v>
      </c>
      <c r="GA2" t="e">
        <f>AND(Teoria!#REF!,"AAAAAHf+/7Y=")</f>
        <v>#REF!</v>
      </c>
      <c r="GB2" t="b">
        <f>AND(Teoria!T20,"AAAAAHf+/7c=")</f>
        <v>1</v>
      </c>
      <c r="GC2" t="e">
        <f>AND(Teoria!U20,"AAAAAHf+/7g=")</f>
        <v>#VALUE!</v>
      </c>
      <c r="GD2">
        <f>IF(Teoria!21:21,"AAAAAHf+/7k=",0)</f>
        <v>0</v>
      </c>
      <c r="GE2" t="e">
        <f>AND(Teoria!A21,"AAAAAHf+/7o=")</f>
        <v>#VALUE!</v>
      </c>
      <c r="GF2" t="e">
        <f>AND(Teoria!#REF!,"AAAAAHf+/7s=")</f>
        <v>#REF!</v>
      </c>
      <c r="GG2" t="e">
        <f>AND(Teoria!#REF!,"AAAAAHf+/7w=")</f>
        <v>#REF!</v>
      </c>
      <c r="GH2" t="e">
        <f>AND(Teoria!#REF!,"AAAAAHf+/70=")</f>
        <v>#REF!</v>
      </c>
      <c r="GI2" t="b">
        <f>AND(Teoria!F21,"AAAAAHf+/74=")</f>
        <v>1</v>
      </c>
      <c r="GJ2" t="b">
        <f>AND(Teoria!G21,"AAAAAHf+/78=")</f>
        <v>1</v>
      </c>
      <c r="GK2" t="b">
        <f>AND(Teoria!H21,"AAAAAHf+/8A=")</f>
        <v>1</v>
      </c>
      <c r="GL2" t="b">
        <f>AND(Teoria!I21,"AAAAAHf+/8E=")</f>
        <v>1</v>
      </c>
      <c r="GM2" t="b">
        <f>AND(Teoria!J21,"AAAAAHf+/8I=")</f>
        <v>1</v>
      </c>
      <c r="GN2" t="b">
        <f>AND(Teoria!K21,"AAAAAHf+/8M=")</f>
        <v>1</v>
      </c>
      <c r="GO2" t="b">
        <f>AND(Teoria!L21,"AAAAAHf+/8Q=")</f>
        <v>1</v>
      </c>
      <c r="GP2" t="b">
        <f>AND(Teoria!M21,"AAAAAHf+/8U=")</f>
        <v>1</v>
      </c>
      <c r="GQ2" t="b">
        <f>AND(Teoria!N21,"AAAAAHf+/8Y=")</f>
        <v>1</v>
      </c>
      <c r="GR2" t="b">
        <f>AND(Teoria!O21,"AAAAAHf+/8c=")</f>
        <v>1</v>
      </c>
      <c r="GS2" t="b">
        <f>AND(Teoria!P21,"AAAAAHf+/8g=")</f>
        <v>1</v>
      </c>
      <c r="GT2" t="b">
        <f>AND(Teoria!Q21,"AAAAAHf+/8k=")</f>
        <v>1</v>
      </c>
      <c r="GU2" t="b">
        <f>AND(Teoria!S21,"AAAAAHf+/8o=")</f>
        <v>1</v>
      </c>
      <c r="GV2" t="e">
        <f>AND(Teoria!#REF!,"AAAAAHf+/8s=")</f>
        <v>#REF!</v>
      </c>
      <c r="GW2" t="b">
        <f>AND(Teoria!T21,"AAAAAHf+/8w=")</f>
        <v>1</v>
      </c>
      <c r="GX2" t="e">
        <f>AND(Teoria!U21,"AAAAAHf+/80=")</f>
        <v>#VALUE!</v>
      </c>
      <c r="GY2">
        <f>IF(Teoria!22:22,"AAAAAHf+/84=",0)</f>
        <v>0</v>
      </c>
      <c r="GZ2" t="e">
        <f>AND(Teoria!A22,"AAAAAHf+/88=")</f>
        <v>#VALUE!</v>
      </c>
      <c r="HA2" t="e">
        <f>AND(Teoria!#REF!,"AAAAAHf+/9A=")</f>
        <v>#REF!</v>
      </c>
      <c r="HB2" t="e">
        <f>AND(Teoria!#REF!,"AAAAAHf+/9E=")</f>
        <v>#REF!</v>
      </c>
      <c r="HC2" t="e">
        <f>AND(Teoria!#REF!,"AAAAAHf+/9I=")</f>
        <v>#REF!</v>
      </c>
      <c r="HD2" t="b">
        <f>AND(Teoria!F22,"AAAAAHf+/9M=")</f>
        <v>1</v>
      </c>
      <c r="HE2" t="b">
        <f>AND(Teoria!G22,"AAAAAHf+/9Q=")</f>
        <v>1</v>
      </c>
      <c r="HF2" t="b">
        <f>AND(Teoria!H22,"AAAAAHf+/9U=")</f>
        <v>1</v>
      </c>
      <c r="HG2" t="b">
        <f>AND(Teoria!I22,"AAAAAHf+/9Y=")</f>
        <v>1</v>
      </c>
      <c r="HH2" t="b">
        <f>AND(Teoria!J22,"AAAAAHf+/9c=")</f>
        <v>1</v>
      </c>
      <c r="HI2" t="b">
        <f>AND(Teoria!K22,"AAAAAHf+/9g=")</f>
        <v>1</v>
      </c>
      <c r="HJ2" t="b">
        <f>AND(Teoria!L22,"AAAAAHf+/9k=")</f>
        <v>1</v>
      </c>
      <c r="HK2" t="b">
        <f>AND(Teoria!M22,"AAAAAHf+/9o=")</f>
        <v>1</v>
      </c>
      <c r="HL2" t="b">
        <f>AND(Teoria!N22,"AAAAAHf+/9s=")</f>
        <v>1</v>
      </c>
      <c r="HM2" t="b">
        <f>AND(Teoria!O22,"AAAAAHf+/9w=")</f>
        <v>1</v>
      </c>
      <c r="HN2" t="b">
        <f>AND(Teoria!P22,"AAAAAHf+/90=")</f>
        <v>1</v>
      </c>
      <c r="HO2" t="b">
        <f>AND(Teoria!Q22,"AAAAAHf+/94=")</f>
        <v>1</v>
      </c>
      <c r="HP2" t="b">
        <f>AND(Teoria!S22,"AAAAAHf+/98=")</f>
        <v>1</v>
      </c>
      <c r="HQ2" t="e">
        <f>AND(Teoria!#REF!,"AAAAAHf+/+A=")</f>
        <v>#REF!</v>
      </c>
      <c r="HR2" t="b">
        <f>AND(Teoria!T22,"AAAAAHf+/+E=")</f>
        <v>1</v>
      </c>
      <c r="HS2" t="e">
        <f>AND(Teoria!U22,"AAAAAHf+/+I=")</f>
        <v>#VALUE!</v>
      </c>
      <c r="HT2" t="e">
        <f>IF(Teoria!#REF!,"AAAAAHf+/+M=",0)</f>
        <v>#REF!</v>
      </c>
      <c r="HU2" t="e">
        <f>AND(Teoria!#REF!,"AAAAAHf+/+Q=")</f>
        <v>#REF!</v>
      </c>
      <c r="HV2" t="e">
        <f>AND(Teoria!#REF!,"AAAAAHf+/+U=")</f>
        <v>#REF!</v>
      </c>
      <c r="HW2" t="e">
        <f>AND(Teoria!#REF!,"AAAAAHf+/+Y=")</f>
        <v>#REF!</v>
      </c>
      <c r="HX2" t="e">
        <f>AND(Teoria!#REF!,"AAAAAHf+/+c=")</f>
        <v>#REF!</v>
      </c>
      <c r="HY2" t="e">
        <f>AND(Teoria!#REF!,"AAAAAHf+/+g=")</f>
        <v>#REF!</v>
      </c>
      <c r="HZ2" t="e">
        <f>AND(Teoria!#REF!,"AAAAAHf+/+k=")</f>
        <v>#REF!</v>
      </c>
      <c r="IA2" t="e">
        <f>AND(Teoria!#REF!,"AAAAAHf+/+o=")</f>
        <v>#REF!</v>
      </c>
      <c r="IB2" t="e">
        <f>AND(Teoria!#REF!,"AAAAAHf+/+s=")</f>
        <v>#REF!</v>
      </c>
      <c r="IC2" t="e">
        <f>AND(Teoria!#REF!,"AAAAAHf+/+w=")</f>
        <v>#REF!</v>
      </c>
      <c r="ID2" t="e">
        <f>AND(Teoria!#REF!,"AAAAAHf+/+0=")</f>
        <v>#REF!</v>
      </c>
      <c r="IE2" t="e">
        <f>AND(Teoria!#REF!,"AAAAAHf+/+4=")</f>
        <v>#REF!</v>
      </c>
      <c r="IF2" t="e">
        <f>AND(Teoria!#REF!,"AAAAAHf+/+8=")</f>
        <v>#REF!</v>
      </c>
      <c r="IG2" t="e">
        <f>AND(Teoria!#REF!,"AAAAAHf+//A=")</f>
        <v>#REF!</v>
      </c>
      <c r="IH2" t="e">
        <f>AND(Teoria!#REF!,"AAAAAHf+//E=")</f>
        <v>#REF!</v>
      </c>
      <c r="II2" t="e">
        <f>AND(Teoria!#REF!,"AAAAAHf+//I=")</f>
        <v>#REF!</v>
      </c>
      <c r="IJ2" t="e">
        <f>AND(Teoria!#REF!,"AAAAAHf+//M=")</f>
        <v>#REF!</v>
      </c>
      <c r="IK2" t="e">
        <f>AND(Teoria!#REF!,"AAAAAHf+//Q=")</f>
        <v>#REF!</v>
      </c>
      <c r="IL2" t="e">
        <f>AND(Teoria!#REF!,"AAAAAHf+//U=")</f>
        <v>#REF!</v>
      </c>
      <c r="IM2" t="e">
        <f>AND(Teoria!#REF!,"AAAAAHf+//Y=")</f>
        <v>#REF!</v>
      </c>
      <c r="IN2" t="e">
        <f>AND(Teoria!#REF!,"AAAAAHf+//c=")</f>
        <v>#REF!</v>
      </c>
      <c r="IO2" t="e">
        <f>IF(Teoria!#REF!,"AAAAAHf+//g=",0)</f>
        <v>#REF!</v>
      </c>
      <c r="IP2" t="e">
        <f>AND(Teoria!#REF!,"AAAAAHf+//k=")</f>
        <v>#REF!</v>
      </c>
      <c r="IQ2" t="e">
        <f>AND(Teoria!#REF!,"AAAAAHf+//o=")</f>
        <v>#REF!</v>
      </c>
      <c r="IR2" t="e">
        <f>AND(Teoria!#REF!,"AAAAAHf+//s=")</f>
        <v>#REF!</v>
      </c>
      <c r="IS2" t="e">
        <f>AND(Teoria!#REF!,"AAAAAHf+//w=")</f>
        <v>#REF!</v>
      </c>
      <c r="IT2" t="e">
        <f>AND(Teoria!#REF!,"AAAAAHf+//0=")</f>
        <v>#REF!</v>
      </c>
      <c r="IU2" t="e">
        <f>AND(Teoria!#REF!,"AAAAAHf+//4=")</f>
        <v>#REF!</v>
      </c>
      <c r="IV2" t="e">
        <f>AND(Teoria!#REF!,"AAAAAHf+//8=")</f>
        <v>#REF!</v>
      </c>
    </row>
    <row r="3" spans="1:256" x14ac:dyDescent="0.35">
      <c r="A3" t="e">
        <f>AND(Teoria!#REF!,"AAAAAD/ffwA=")</f>
        <v>#REF!</v>
      </c>
      <c r="B3" t="e">
        <f>AND(Teoria!#REF!,"AAAAAD/ffwE=")</f>
        <v>#REF!</v>
      </c>
      <c r="C3" t="e">
        <f>AND(Teoria!#REF!,"AAAAAD/ffwI=")</f>
        <v>#REF!</v>
      </c>
      <c r="D3" t="e">
        <f>AND(Teoria!#REF!,"AAAAAD/ffwM=")</f>
        <v>#REF!</v>
      </c>
      <c r="E3" t="e">
        <f>AND(Teoria!#REF!,"AAAAAD/ffwQ=")</f>
        <v>#REF!</v>
      </c>
      <c r="F3" t="e">
        <f>AND(Teoria!#REF!,"AAAAAD/ffwU=")</f>
        <v>#REF!</v>
      </c>
      <c r="G3" t="e">
        <f>AND(Teoria!#REF!,"AAAAAD/ffwY=")</f>
        <v>#REF!</v>
      </c>
      <c r="H3" t="e">
        <f>AND(Teoria!#REF!,"AAAAAD/ffwc=")</f>
        <v>#REF!</v>
      </c>
      <c r="I3" t="e">
        <f>AND(Teoria!#REF!,"AAAAAD/ffwg=")</f>
        <v>#REF!</v>
      </c>
      <c r="J3" t="e">
        <f>AND(Teoria!#REF!,"AAAAAD/ffwk=")</f>
        <v>#REF!</v>
      </c>
      <c r="K3" t="e">
        <f>AND(Teoria!#REF!,"AAAAAD/ffwo=")</f>
        <v>#REF!</v>
      </c>
      <c r="L3" t="e">
        <f>AND(Teoria!#REF!,"AAAAAD/ffws=")</f>
        <v>#REF!</v>
      </c>
      <c r="M3" t="e">
        <f>AND(Teoria!#REF!,"AAAAAD/ffww=")</f>
        <v>#REF!</v>
      </c>
      <c r="N3" t="e">
        <f>IF(Teoria!#REF!,"AAAAAD/ffw0=",0)</f>
        <v>#REF!</v>
      </c>
      <c r="O3" t="e">
        <f>AND(Teoria!#REF!,"AAAAAD/ffw4=")</f>
        <v>#REF!</v>
      </c>
      <c r="P3" t="e">
        <f>AND(Teoria!#REF!,"AAAAAD/ffw8=")</f>
        <v>#REF!</v>
      </c>
      <c r="Q3" t="e">
        <f>AND(Teoria!#REF!,"AAAAAD/ffxA=")</f>
        <v>#REF!</v>
      </c>
      <c r="R3" t="e">
        <f>AND(Teoria!#REF!,"AAAAAD/ffxE=")</f>
        <v>#REF!</v>
      </c>
      <c r="S3" t="e">
        <f>AND(Teoria!#REF!,"AAAAAD/ffxI=")</f>
        <v>#REF!</v>
      </c>
      <c r="T3" t="e">
        <f>AND(Teoria!#REF!,"AAAAAD/ffxM=")</f>
        <v>#REF!</v>
      </c>
      <c r="U3" t="e">
        <f>AND(Teoria!#REF!,"AAAAAD/ffxQ=")</f>
        <v>#REF!</v>
      </c>
      <c r="V3" t="e">
        <f>AND(Teoria!#REF!,"AAAAAD/ffxU=")</f>
        <v>#REF!</v>
      </c>
      <c r="W3" t="e">
        <f>AND(Teoria!#REF!,"AAAAAD/ffxY=")</f>
        <v>#REF!</v>
      </c>
      <c r="X3" t="e">
        <f>AND(Teoria!#REF!,"AAAAAD/ffxc=")</f>
        <v>#REF!</v>
      </c>
      <c r="Y3" t="e">
        <f>AND(Teoria!#REF!,"AAAAAD/ffxg=")</f>
        <v>#REF!</v>
      </c>
      <c r="Z3" t="e">
        <f>AND(Teoria!#REF!,"AAAAAD/ffxk=")</f>
        <v>#REF!</v>
      </c>
      <c r="AA3" t="e">
        <f>AND(Teoria!#REF!,"AAAAAD/ffxo=")</f>
        <v>#REF!</v>
      </c>
      <c r="AB3" t="e">
        <f>AND(Teoria!#REF!,"AAAAAD/ffxs=")</f>
        <v>#REF!</v>
      </c>
      <c r="AC3" t="e">
        <f>AND(Teoria!#REF!,"AAAAAD/ffxw=")</f>
        <v>#REF!</v>
      </c>
      <c r="AD3" t="e">
        <f>AND(Teoria!#REF!,"AAAAAD/ffx0=")</f>
        <v>#REF!</v>
      </c>
      <c r="AE3" t="e">
        <f>AND(Teoria!#REF!,"AAAAAD/ffx4=")</f>
        <v>#REF!</v>
      </c>
      <c r="AF3" t="e">
        <f>AND(Teoria!#REF!,"AAAAAD/ffx8=")</f>
        <v>#REF!</v>
      </c>
      <c r="AG3" t="e">
        <f>AND(Teoria!#REF!,"AAAAAD/ffyA=")</f>
        <v>#REF!</v>
      </c>
      <c r="AH3" t="e">
        <f>AND(Teoria!#REF!,"AAAAAD/ffyE=")</f>
        <v>#REF!</v>
      </c>
      <c r="AI3" t="e">
        <f>IF(Teoria!#REF!,"AAAAAD/ffyI=",0)</f>
        <v>#REF!</v>
      </c>
      <c r="AJ3" t="e">
        <f>AND(Teoria!#REF!,"AAAAAD/ffyM=")</f>
        <v>#REF!</v>
      </c>
      <c r="AK3" t="e">
        <f>AND(Teoria!#REF!,"AAAAAD/ffyQ=")</f>
        <v>#REF!</v>
      </c>
      <c r="AL3" t="e">
        <f>AND(Teoria!#REF!,"AAAAAD/ffyU=")</f>
        <v>#REF!</v>
      </c>
      <c r="AM3" t="e">
        <f>AND(Teoria!#REF!,"AAAAAD/ffyY=")</f>
        <v>#REF!</v>
      </c>
      <c r="AN3" t="e">
        <f>AND(Teoria!#REF!,"AAAAAD/ffyc=")</f>
        <v>#REF!</v>
      </c>
      <c r="AO3" t="e">
        <f>AND(Teoria!#REF!,"AAAAAD/ffyg=")</f>
        <v>#REF!</v>
      </c>
      <c r="AP3" t="e">
        <f>AND(Teoria!#REF!,"AAAAAD/ffyk=")</f>
        <v>#REF!</v>
      </c>
      <c r="AQ3" t="e">
        <f>AND(Teoria!#REF!,"AAAAAD/ffyo=")</f>
        <v>#REF!</v>
      </c>
      <c r="AR3" t="e">
        <f>AND(Teoria!#REF!,"AAAAAD/ffys=")</f>
        <v>#REF!</v>
      </c>
      <c r="AS3" t="e">
        <f>AND(Teoria!#REF!,"AAAAAD/ffyw=")</f>
        <v>#REF!</v>
      </c>
      <c r="AT3" t="e">
        <f>AND(Teoria!#REF!,"AAAAAD/ffy0=")</f>
        <v>#REF!</v>
      </c>
      <c r="AU3" t="e">
        <f>AND(Teoria!#REF!,"AAAAAD/ffy4=")</f>
        <v>#REF!</v>
      </c>
      <c r="AV3" t="e">
        <f>AND(Teoria!#REF!,"AAAAAD/ffy8=")</f>
        <v>#REF!</v>
      </c>
      <c r="AW3" t="e">
        <f>AND(Teoria!#REF!,"AAAAAD/ffzA=")</f>
        <v>#REF!</v>
      </c>
      <c r="AX3" t="e">
        <f>AND(Teoria!#REF!,"AAAAAD/ffzE=")</f>
        <v>#REF!</v>
      </c>
      <c r="AY3" t="e">
        <f>AND(Teoria!#REF!,"AAAAAD/ffzI=")</f>
        <v>#REF!</v>
      </c>
      <c r="AZ3" t="e">
        <f>AND(Teoria!#REF!,"AAAAAD/ffzM=")</f>
        <v>#REF!</v>
      </c>
      <c r="BA3" t="e">
        <f>AND(Teoria!#REF!,"AAAAAD/ffzQ=")</f>
        <v>#REF!</v>
      </c>
      <c r="BB3" t="e">
        <f>AND(Teoria!#REF!,"AAAAAD/ffzU=")</f>
        <v>#REF!</v>
      </c>
      <c r="BC3" t="e">
        <f>AND(Teoria!#REF!,"AAAAAD/ffzY=")</f>
        <v>#REF!</v>
      </c>
      <c r="BD3" t="e">
        <f>IF(Teoria!#REF!,"AAAAAD/ffzc=",0)</f>
        <v>#REF!</v>
      </c>
      <c r="BE3" t="e">
        <f>AND(Teoria!#REF!,"AAAAAD/ffzg=")</f>
        <v>#REF!</v>
      </c>
      <c r="BF3" t="e">
        <f>AND(Teoria!#REF!,"AAAAAD/ffzk=")</f>
        <v>#REF!</v>
      </c>
      <c r="BG3" t="e">
        <f>AND(Teoria!#REF!,"AAAAAD/ffzo=")</f>
        <v>#REF!</v>
      </c>
      <c r="BH3" t="e">
        <f>AND(Teoria!#REF!,"AAAAAD/ffzs=")</f>
        <v>#REF!</v>
      </c>
      <c r="BI3" t="e">
        <f>AND(Teoria!#REF!,"AAAAAD/ffzw=")</f>
        <v>#REF!</v>
      </c>
      <c r="BJ3" t="e">
        <f>AND(Teoria!#REF!,"AAAAAD/ffz0=")</f>
        <v>#REF!</v>
      </c>
      <c r="BK3" t="e">
        <f>AND(Teoria!#REF!,"AAAAAD/ffz4=")</f>
        <v>#REF!</v>
      </c>
      <c r="BL3" t="e">
        <f>AND(Teoria!#REF!,"AAAAAD/ffz8=")</f>
        <v>#REF!</v>
      </c>
      <c r="BM3" t="e">
        <f>AND(Teoria!#REF!,"AAAAAD/ff0A=")</f>
        <v>#REF!</v>
      </c>
      <c r="BN3" t="e">
        <f>AND(Teoria!#REF!,"AAAAAD/ff0E=")</f>
        <v>#REF!</v>
      </c>
      <c r="BO3" t="e">
        <f>AND(Teoria!#REF!,"AAAAAD/ff0I=")</f>
        <v>#REF!</v>
      </c>
      <c r="BP3" t="e">
        <f>AND(Teoria!#REF!,"AAAAAD/ff0M=")</f>
        <v>#REF!</v>
      </c>
      <c r="BQ3" t="e">
        <f>AND(Teoria!#REF!,"AAAAAD/ff0Q=")</f>
        <v>#REF!</v>
      </c>
      <c r="BR3" t="e">
        <f>AND(Teoria!#REF!,"AAAAAD/ff0U=")</f>
        <v>#REF!</v>
      </c>
      <c r="BS3" t="e">
        <f>AND(Teoria!#REF!,"AAAAAD/ff0Y=")</f>
        <v>#REF!</v>
      </c>
      <c r="BT3" t="e">
        <f>AND(Teoria!#REF!,"AAAAAD/ff0c=")</f>
        <v>#REF!</v>
      </c>
      <c r="BU3" t="e">
        <f>AND(Teoria!#REF!,"AAAAAD/ff0g=")</f>
        <v>#REF!</v>
      </c>
      <c r="BV3" t="e">
        <f>AND(Teoria!#REF!,"AAAAAD/ff0k=")</f>
        <v>#REF!</v>
      </c>
      <c r="BW3" t="e">
        <f>AND(Teoria!#REF!,"AAAAAD/ff0o=")</f>
        <v>#REF!</v>
      </c>
      <c r="BX3" t="e">
        <f>AND(Teoria!#REF!,"AAAAAD/ff0s=")</f>
        <v>#REF!</v>
      </c>
      <c r="BY3" t="e">
        <f>IF(Teoria!#REF!,"AAAAAD/ff0w=",0)</f>
        <v>#REF!</v>
      </c>
      <c r="BZ3" t="e">
        <f>AND(Teoria!#REF!,"AAAAAD/ff00=")</f>
        <v>#REF!</v>
      </c>
      <c r="CA3" t="e">
        <f>AND(Teoria!#REF!,"AAAAAD/ff04=")</f>
        <v>#REF!</v>
      </c>
      <c r="CB3" t="e">
        <f>AND(Teoria!#REF!,"AAAAAD/ff08=")</f>
        <v>#REF!</v>
      </c>
      <c r="CC3" t="e">
        <f>AND(Teoria!#REF!,"AAAAAD/ff1A=")</f>
        <v>#REF!</v>
      </c>
      <c r="CD3" t="e">
        <f>AND(Teoria!#REF!,"AAAAAD/ff1E=")</f>
        <v>#REF!</v>
      </c>
      <c r="CE3" t="e">
        <f>AND(Teoria!#REF!,"AAAAAD/ff1I=")</f>
        <v>#REF!</v>
      </c>
      <c r="CF3" t="e">
        <f>AND(Teoria!#REF!,"AAAAAD/ff1M=")</f>
        <v>#REF!</v>
      </c>
      <c r="CG3" t="e">
        <f>AND(Teoria!#REF!,"AAAAAD/ff1Q=")</f>
        <v>#REF!</v>
      </c>
      <c r="CH3" t="e">
        <f>AND(Teoria!#REF!,"AAAAAD/ff1U=")</f>
        <v>#REF!</v>
      </c>
      <c r="CI3" t="e">
        <f>AND(Teoria!#REF!,"AAAAAD/ff1Y=")</f>
        <v>#REF!</v>
      </c>
      <c r="CJ3" t="e">
        <f>AND(Teoria!#REF!,"AAAAAD/ff1c=")</f>
        <v>#REF!</v>
      </c>
      <c r="CK3" t="e">
        <f>AND(Teoria!#REF!,"AAAAAD/ff1g=")</f>
        <v>#REF!</v>
      </c>
      <c r="CL3" t="e">
        <f>AND(Teoria!#REF!,"AAAAAD/ff1k=")</f>
        <v>#REF!</v>
      </c>
      <c r="CM3" t="e">
        <f>AND(Teoria!#REF!,"AAAAAD/ff1o=")</f>
        <v>#REF!</v>
      </c>
      <c r="CN3" t="e">
        <f>AND(Teoria!#REF!,"AAAAAD/ff1s=")</f>
        <v>#REF!</v>
      </c>
      <c r="CO3" t="e">
        <f>AND(Teoria!#REF!,"AAAAAD/ff1w=")</f>
        <v>#REF!</v>
      </c>
      <c r="CP3" t="e">
        <f>AND(Teoria!#REF!,"AAAAAD/ff10=")</f>
        <v>#REF!</v>
      </c>
      <c r="CQ3" t="e">
        <f>AND(Teoria!#REF!,"AAAAAD/ff14=")</f>
        <v>#REF!</v>
      </c>
      <c r="CR3" t="e">
        <f>AND(Teoria!#REF!,"AAAAAD/ff18=")</f>
        <v>#REF!</v>
      </c>
      <c r="CS3" t="e">
        <f>AND(Teoria!#REF!,"AAAAAD/ff2A=")</f>
        <v>#REF!</v>
      </c>
      <c r="CT3" t="e">
        <f>IF(Teoria!#REF!,"AAAAAD/ff2E=",0)</f>
        <v>#REF!</v>
      </c>
      <c r="CU3" t="e">
        <f>AND(Teoria!#REF!,"AAAAAD/ff2I=")</f>
        <v>#REF!</v>
      </c>
      <c r="CV3" t="e">
        <f>AND(Teoria!#REF!,"AAAAAD/ff2M=")</f>
        <v>#REF!</v>
      </c>
      <c r="CW3" t="e">
        <f>AND(Teoria!#REF!,"AAAAAD/ff2Q=")</f>
        <v>#REF!</v>
      </c>
      <c r="CX3" t="e">
        <f>AND(Teoria!#REF!,"AAAAAD/ff2U=")</f>
        <v>#REF!</v>
      </c>
      <c r="CY3" t="e">
        <f>AND(Teoria!#REF!,"AAAAAD/ff2Y=")</f>
        <v>#REF!</v>
      </c>
      <c r="CZ3" t="e">
        <f>AND(Teoria!#REF!,"AAAAAD/ff2c=")</f>
        <v>#REF!</v>
      </c>
      <c r="DA3" t="e">
        <f>AND(Teoria!#REF!,"AAAAAD/ff2g=")</f>
        <v>#REF!</v>
      </c>
      <c r="DB3" t="e">
        <f>AND(Teoria!#REF!,"AAAAAD/ff2k=")</f>
        <v>#REF!</v>
      </c>
      <c r="DC3" t="e">
        <f>AND(Teoria!#REF!,"AAAAAD/ff2o=")</f>
        <v>#REF!</v>
      </c>
      <c r="DD3" t="e">
        <f>AND(Teoria!#REF!,"AAAAAD/ff2s=")</f>
        <v>#REF!</v>
      </c>
      <c r="DE3" t="e">
        <f>AND(Teoria!#REF!,"AAAAAD/ff2w=")</f>
        <v>#REF!</v>
      </c>
      <c r="DF3" t="e">
        <f>AND(Teoria!#REF!,"AAAAAD/ff20=")</f>
        <v>#REF!</v>
      </c>
      <c r="DG3" t="e">
        <f>AND(Teoria!#REF!,"AAAAAD/ff24=")</f>
        <v>#REF!</v>
      </c>
      <c r="DH3" t="e">
        <f>AND(Teoria!#REF!,"AAAAAD/ff28=")</f>
        <v>#REF!</v>
      </c>
      <c r="DI3" t="e">
        <f>AND(Teoria!#REF!,"AAAAAD/ff3A=")</f>
        <v>#REF!</v>
      </c>
      <c r="DJ3" t="e">
        <f>AND(Teoria!#REF!,"AAAAAD/ff3E=")</f>
        <v>#REF!</v>
      </c>
      <c r="DK3" t="e">
        <f>AND(Teoria!#REF!,"AAAAAD/ff3I=")</f>
        <v>#REF!</v>
      </c>
      <c r="DL3" t="e">
        <f>AND(Teoria!#REF!,"AAAAAD/ff3M=")</f>
        <v>#REF!</v>
      </c>
      <c r="DM3" t="e">
        <f>AND(Teoria!#REF!,"AAAAAD/ff3Q=")</f>
        <v>#REF!</v>
      </c>
      <c r="DN3" t="e">
        <f>AND(Teoria!#REF!,"AAAAAD/ff3U=")</f>
        <v>#REF!</v>
      </c>
      <c r="DO3" t="e">
        <f>IF(Teoria!#REF!,"AAAAAD/ff3Y=",0)</f>
        <v>#REF!</v>
      </c>
      <c r="DP3" t="e">
        <f>AND(Teoria!#REF!,"AAAAAD/ff3c=")</f>
        <v>#REF!</v>
      </c>
      <c r="DQ3" t="e">
        <f>AND(Teoria!#REF!,"AAAAAD/ff3g=")</f>
        <v>#REF!</v>
      </c>
      <c r="DR3" t="e">
        <f>AND(Teoria!#REF!,"AAAAAD/ff3k=")</f>
        <v>#REF!</v>
      </c>
      <c r="DS3" t="e">
        <f>AND(Teoria!#REF!,"AAAAAD/ff3o=")</f>
        <v>#REF!</v>
      </c>
      <c r="DT3" t="e">
        <f>AND(Teoria!#REF!,"AAAAAD/ff3s=")</f>
        <v>#REF!</v>
      </c>
      <c r="DU3" t="e">
        <f>AND(Teoria!#REF!,"AAAAAD/ff3w=")</f>
        <v>#REF!</v>
      </c>
      <c r="DV3" t="e">
        <f>AND(Teoria!#REF!,"AAAAAD/ff30=")</f>
        <v>#REF!</v>
      </c>
      <c r="DW3" t="e">
        <f>AND(Teoria!#REF!,"AAAAAD/ff34=")</f>
        <v>#REF!</v>
      </c>
      <c r="DX3" t="e">
        <f>AND(Teoria!#REF!,"AAAAAD/ff38=")</f>
        <v>#REF!</v>
      </c>
      <c r="DY3" t="e">
        <f>AND(Teoria!#REF!,"AAAAAD/ff4A=")</f>
        <v>#REF!</v>
      </c>
      <c r="DZ3" t="e">
        <f>AND(Teoria!#REF!,"AAAAAD/ff4E=")</f>
        <v>#REF!</v>
      </c>
      <c r="EA3" t="e">
        <f>AND(Teoria!#REF!,"AAAAAD/ff4I=")</f>
        <v>#REF!</v>
      </c>
      <c r="EB3" t="e">
        <f>AND(Teoria!#REF!,"AAAAAD/ff4M=")</f>
        <v>#REF!</v>
      </c>
      <c r="EC3" t="e">
        <f>AND(Teoria!#REF!,"AAAAAD/ff4Q=")</f>
        <v>#REF!</v>
      </c>
      <c r="ED3" t="e">
        <f>AND(Teoria!#REF!,"AAAAAD/ff4U=")</f>
        <v>#REF!</v>
      </c>
      <c r="EE3" t="e">
        <f>AND(Teoria!#REF!,"AAAAAD/ff4Y=")</f>
        <v>#REF!</v>
      </c>
      <c r="EF3" t="e">
        <f>AND(Teoria!#REF!,"AAAAAD/ff4c=")</f>
        <v>#REF!</v>
      </c>
      <c r="EG3" t="e">
        <f>AND(Teoria!#REF!,"AAAAAD/ff4g=")</f>
        <v>#REF!</v>
      </c>
      <c r="EH3" t="e">
        <f>AND(Teoria!#REF!,"AAAAAD/ff4k=")</f>
        <v>#REF!</v>
      </c>
      <c r="EI3" t="e">
        <f>AND(Teoria!#REF!,"AAAAAD/ff4o=")</f>
        <v>#REF!</v>
      </c>
      <c r="EJ3">
        <f>IF(Teoria!23:23,"AAAAAD/ff4s=",0)</f>
        <v>0</v>
      </c>
      <c r="EK3" t="e">
        <f>AND(Teoria!A23,"AAAAAD/ff4w=")</f>
        <v>#VALUE!</v>
      </c>
      <c r="EL3" t="e">
        <f>AND(Teoria!#REF!,"AAAAAD/ff40=")</f>
        <v>#REF!</v>
      </c>
      <c r="EM3" t="e">
        <f>AND(Teoria!#REF!,"AAAAAD/ff44=")</f>
        <v>#REF!</v>
      </c>
      <c r="EN3" t="e">
        <f>AND(Teoria!#REF!,"AAAAAD/ff48=")</f>
        <v>#REF!</v>
      </c>
      <c r="EO3" t="b">
        <f>AND(Teoria!F23,"AAAAAD/ff5A=")</f>
        <v>1</v>
      </c>
      <c r="EP3" t="b">
        <f>AND(Teoria!G23,"AAAAAD/ff5E=")</f>
        <v>1</v>
      </c>
      <c r="EQ3" t="b">
        <f>AND(Teoria!H23,"AAAAAD/ff5I=")</f>
        <v>1</v>
      </c>
      <c r="ER3" t="b">
        <f>AND(Teoria!I23,"AAAAAD/ff5M=")</f>
        <v>1</v>
      </c>
      <c r="ES3" t="b">
        <f>AND(Teoria!J23,"AAAAAD/ff5Q=")</f>
        <v>1</v>
      </c>
      <c r="ET3" t="b">
        <f>AND(Teoria!K23,"AAAAAD/ff5U=")</f>
        <v>1</v>
      </c>
      <c r="EU3" t="b">
        <f>AND(Teoria!L23,"AAAAAD/ff5Y=")</f>
        <v>1</v>
      </c>
      <c r="EV3" t="b">
        <f>AND(Teoria!M23,"AAAAAD/ff5c=")</f>
        <v>1</v>
      </c>
      <c r="EW3" t="b">
        <f>AND(Teoria!N23,"AAAAAD/ff5g=")</f>
        <v>1</v>
      </c>
      <c r="EX3" t="b">
        <f>AND(Teoria!O23,"AAAAAD/ff5k=")</f>
        <v>1</v>
      </c>
      <c r="EY3" t="b">
        <f>AND(Teoria!P23,"AAAAAD/ff5o=")</f>
        <v>1</v>
      </c>
      <c r="EZ3" t="b">
        <f>AND(Teoria!Q23,"AAAAAD/ff5s=")</f>
        <v>1</v>
      </c>
      <c r="FA3" t="b">
        <f>AND(Teoria!S23,"AAAAAD/ff5w=")</f>
        <v>1</v>
      </c>
      <c r="FB3" t="e">
        <f>AND(Teoria!#REF!,"AAAAAD/ff50=")</f>
        <v>#REF!</v>
      </c>
      <c r="FC3" t="b">
        <f>AND(Teoria!T23,"AAAAAD/ff54=")</f>
        <v>1</v>
      </c>
      <c r="FD3" t="e">
        <f>AND(Teoria!U23,"AAAAAD/ff58=")</f>
        <v>#VALUE!</v>
      </c>
      <c r="FE3">
        <f>IF(Teoria!24:24,"AAAAAD/ff6A=",0)</f>
        <v>0</v>
      </c>
      <c r="FF3">
        <f>IF(Teoria!25:25,"AAAAAD/ff6E=",0)</f>
        <v>0</v>
      </c>
      <c r="FG3" t="e">
        <f>IF(Teoria!A:A,"AAAAAD/ff6I=",0)</f>
        <v>#VALUE!</v>
      </c>
      <c r="FH3" t="e">
        <f>IF(_xlfn.SINGLE(Teoria!#REF!),"AAAAAD/ff6M=",0)</f>
        <v>#REF!</v>
      </c>
      <c r="FI3" t="e">
        <f>IF(Teoria!#REF!,"AAAAAD/ff6Q=",0)</f>
        <v>#REF!</v>
      </c>
      <c r="FJ3" t="e">
        <f>IF(Teoria!#REF!,"AAAAAD/ff6U=",0)</f>
        <v>#REF!</v>
      </c>
      <c r="FK3">
        <f>IF(Teoria!F:F,"AAAAAD/ff6Y=",0)</f>
        <v>0</v>
      </c>
      <c r="FL3">
        <f>IF(Teoria!G:G,"AAAAAD/ff6c=",0)</f>
        <v>0</v>
      </c>
      <c r="FM3">
        <f>IF(Teoria!H:H,"AAAAAD/ff6g=",0)</f>
        <v>0</v>
      </c>
      <c r="FN3">
        <f>IF(Teoria!I:I,"AAAAAD/ff6k=",0)</f>
        <v>0</v>
      </c>
      <c r="FO3">
        <f>IF(Teoria!J:J,"AAAAAD/ff6o=",0)</f>
        <v>0</v>
      </c>
      <c r="FP3">
        <f>IF(Teoria!K:K,"AAAAAD/ff6s=",0)</f>
        <v>0</v>
      </c>
      <c r="FQ3">
        <f>IF(Teoria!L:L,"AAAAAD/ff6w=",0)</f>
        <v>0</v>
      </c>
      <c r="FR3">
        <f>IF(Teoria!M:M,"AAAAAD/ff60=",0)</f>
        <v>0</v>
      </c>
      <c r="FS3">
        <f>IF(Teoria!N:N,"AAAAAD/ff64=",0)</f>
        <v>0</v>
      </c>
      <c r="FT3">
        <f>IF(Teoria!O:O,"AAAAAD/ff68=",0)</f>
        <v>0</v>
      </c>
      <c r="FU3">
        <f>IF(Teoria!P:P,"AAAAAD/ff7A=",0)</f>
        <v>0</v>
      </c>
      <c r="FV3">
        <f>IF(Teoria!Q:Q,"AAAAAD/ff7E=",0)</f>
        <v>0</v>
      </c>
      <c r="FW3">
        <f>IF(Teoria!S:S,"AAAAAD/ff7I=",0)</f>
        <v>0</v>
      </c>
      <c r="FX3" t="e">
        <f>IF(Teoria!#REF!,"AAAAAD/ff7M=",0)</f>
        <v>#REF!</v>
      </c>
      <c r="FY3">
        <f>IF(Teoria!T:T,"AAAAAD/ff7Q=",0)</f>
        <v>0</v>
      </c>
      <c r="FZ3">
        <f>IF(Teoria!U:U,"AAAAAD/ff7U=",0)</f>
        <v>0</v>
      </c>
      <c r="GA3" t="e">
        <f>IF(#REF!,"AAAAAD/ff7Y=",0)</f>
        <v>#REF!</v>
      </c>
      <c r="GB3" t="e">
        <f>AND(#REF!,"AAAAAD/ff7c=")</f>
        <v>#REF!</v>
      </c>
      <c r="GC3" t="e">
        <f>AND(#REF!,"AAAAAD/ff7g=")</f>
        <v>#REF!</v>
      </c>
      <c r="GD3" t="e">
        <f>AND(#REF!,"AAAAAD/ff7k=")</f>
        <v>#REF!</v>
      </c>
      <c r="GE3" t="e">
        <f>AND(#REF!,"AAAAAD/ff7o=")</f>
        <v>#REF!</v>
      </c>
      <c r="GF3" t="e">
        <f>AND(#REF!,"AAAAAD/ff7s=")</f>
        <v>#REF!</v>
      </c>
      <c r="GG3" t="e">
        <f>AND(#REF!,"AAAAAD/ff7w=")</f>
        <v>#REF!</v>
      </c>
      <c r="GH3" t="e">
        <f>AND(#REF!,"AAAAAD/ff70=")</f>
        <v>#REF!</v>
      </c>
      <c r="GI3" t="e">
        <f>AND(#REF!,"AAAAAD/ff74=")</f>
        <v>#REF!</v>
      </c>
      <c r="GJ3" t="e">
        <f>AND(#REF!,"AAAAAD/ff78=")</f>
        <v>#REF!</v>
      </c>
      <c r="GK3" t="e">
        <f>AND(#REF!,"AAAAAD/ff8A=")</f>
        <v>#REF!</v>
      </c>
      <c r="GL3" t="e">
        <f>AND(#REF!,"AAAAAD/ff8E=")</f>
        <v>#REF!</v>
      </c>
      <c r="GM3" t="e">
        <f>AND(#REF!,"AAAAAD/ff8I=")</f>
        <v>#REF!</v>
      </c>
      <c r="GN3" t="e">
        <f>AND(#REF!,"AAAAAD/ff8M=")</f>
        <v>#REF!</v>
      </c>
      <c r="GO3" t="e">
        <f>AND(#REF!,"AAAAAD/ff8Q=")</f>
        <v>#REF!</v>
      </c>
      <c r="GP3" t="e">
        <f>AND(#REF!,"AAAAAD/ff8U=")</f>
        <v>#REF!</v>
      </c>
      <c r="GQ3" t="e">
        <f>AND(#REF!,"AAAAAD/ff8Y=")</f>
        <v>#REF!</v>
      </c>
      <c r="GR3" t="e">
        <f>AND(#REF!,"AAAAAD/ff8c=")</f>
        <v>#REF!</v>
      </c>
      <c r="GS3" t="e">
        <f>AND(#REF!,"AAAAAD/ff8g=")</f>
        <v>#REF!</v>
      </c>
      <c r="GT3" t="e">
        <f>AND(#REF!,"AAAAAD/ff8k=")</f>
        <v>#REF!</v>
      </c>
      <c r="GU3" t="e">
        <f>AND(#REF!,"AAAAAD/ff8o=")</f>
        <v>#REF!</v>
      </c>
      <c r="GV3" t="e">
        <f>AND(#REF!,"AAAAAD/ff8s=")</f>
        <v>#REF!</v>
      </c>
      <c r="GW3" t="e">
        <f>AND(#REF!,"AAAAAD/ff8w=")</f>
        <v>#REF!</v>
      </c>
      <c r="GX3" t="e">
        <f>AND(#REF!,"AAAAAD/ff80=")</f>
        <v>#REF!</v>
      </c>
      <c r="GY3" t="e">
        <f>AND(#REF!,"AAAAAD/ff84=")</f>
        <v>#REF!</v>
      </c>
      <c r="GZ3" t="e">
        <f>AND(#REF!,"AAAAAD/ff88=")</f>
        <v>#REF!</v>
      </c>
      <c r="HA3" t="e">
        <f>AND(#REF!,"AAAAAD/ff9A=")</f>
        <v>#REF!</v>
      </c>
      <c r="HB3" t="e">
        <f>AND(#REF!,"AAAAAD/ff9E=")</f>
        <v>#REF!</v>
      </c>
      <c r="HC3" t="e">
        <f>AND(#REF!,"AAAAAD/ff9I=")</f>
        <v>#REF!</v>
      </c>
      <c r="HD3" t="e">
        <f>AND(#REF!,"AAAAAD/ff9M=")</f>
        <v>#REF!</v>
      </c>
      <c r="HE3" t="e">
        <f>AND(#REF!,"AAAAAD/ff9Q=")</f>
        <v>#REF!</v>
      </c>
      <c r="HF3" t="e">
        <f>AND(#REF!,"AAAAAD/ff9U=")</f>
        <v>#REF!</v>
      </c>
      <c r="HG3" t="e">
        <f>AND(#REF!,"AAAAAD/ff9Y=")</f>
        <v>#REF!</v>
      </c>
      <c r="HH3" t="e">
        <f>IF(#REF!,"AAAAAD/ff9c=",0)</f>
        <v>#REF!</v>
      </c>
      <c r="HI3" t="e">
        <f>AND(#REF!,"AAAAAD/ff9g=")</f>
        <v>#REF!</v>
      </c>
      <c r="HJ3" t="e">
        <f>AND(#REF!,"AAAAAD/ff9k=")</f>
        <v>#REF!</v>
      </c>
      <c r="HK3" t="e">
        <f>AND(#REF!,"AAAAAD/ff9o=")</f>
        <v>#REF!</v>
      </c>
      <c r="HL3" t="e">
        <f>AND(#REF!,"AAAAAD/ff9s=")</f>
        <v>#REF!</v>
      </c>
      <c r="HM3" t="e">
        <f>AND(#REF!,"AAAAAD/ff9w=")</f>
        <v>#REF!</v>
      </c>
      <c r="HN3" t="e">
        <f>AND(#REF!,"AAAAAD/ff90=")</f>
        <v>#REF!</v>
      </c>
      <c r="HO3" t="e">
        <f>AND(#REF!,"AAAAAD/ff94=")</f>
        <v>#REF!</v>
      </c>
      <c r="HP3" t="e">
        <f>AND(#REF!,"AAAAAD/ff98=")</f>
        <v>#REF!</v>
      </c>
      <c r="HQ3" t="e">
        <f>AND(#REF!,"AAAAAD/ff+A=")</f>
        <v>#REF!</v>
      </c>
      <c r="HR3" t="e">
        <f>AND(#REF!,"AAAAAD/ff+E=")</f>
        <v>#REF!</v>
      </c>
      <c r="HS3" t="e">
        <f>AND(#REF!,"AAAAAD/ff+I=")</f>
        <v>#REF!</v>
      </c>
      <c r="HT3" t="e">
        <f>AND(#REF!,"AAAAAD/ff+M=")</f>
        <v>#REF!</v>
      </c>
      <c r="HU3" t="e">
        <f>AND(#REF!,"AAAAAD/ff+Q=")</f>
        <v>#REF!</v>
      </c>
      <c r="HV3" t="e">
        <f>AND(#REF!,"AAAAAD/ff+U=")</f>
        <v>#REF!</v>
      </c>
      <c r="HW3" t="e">
        <f>AND(#REF!,"AAAAAD/ff+Y=")</f>
        <v>#REF!</v>
      </c>
      <c r="HX3" t="e">
        <f>AND(#REF!,"AAAAAD/ff+c=")</f>
        <v>#REF!</v>
      </c>
      <c r="HY3" t="e">
        <f>AND(#REF!,"AAAAAD/ff+g=")</f>
        <v>#REF!</v>
      </c>
      <c r="HZ3" t="e">
        <f>AND(#REF!,"AAAAAD/ff+k=")</f>
        <v>#REF!</v>
      </c>
      <c r="IA3" t="e">
        <f>AND(#REF!,"AAAAAD/ff+o=")</f>
        <v>#REF!</v>
      </c>
      <c r="IB3" t="e">
        <f>AND(#REF!,"AAAAAD/ff+s=")</f>
        <v>#REF!</v>
      </c>
      <c r="IC3" t="e">
        <f>AND(#REF!,"AAAAAD/ff+w=")</f>
        <v>#REF!</v>
      </c>
      <c r="ID3" t="e">
        <f>AND(#REF!,"AAAAAD/ff+0=")</f>
        <v>#REF!</v>
      </c>
      <c r="IE3" t="e">
        <f>AND(#REF!,"AAAAAD/ff+4=")</f>
        <v>#REF!</v>
      </c>
      <c r="IF3" t="e">
        <f>AND(#REF!,"AAAAAD/ff+8=")</f>
        <v>#REF!</v>
      </c>
      <c r="IG3" t="e">
        <f>AND(#REF!,"AAAAAD/ff/A=")</f>
        <v>#REF!</v>
      </c>
      <c r="IH3" t="e">
        <f>AND(#REF!,"AAAAAD/ff/E=")</f>
        <v>#REF!</v>
      </c>
      <c r="II3" t="e">
        <f>AND(#REF!,"AAAAAD/ff/I=")</f>
        <v>#REF!</v>
      </c>
      <c r="IJ3" t="e">
        <f>AND(#REF!,"AAAAAD/ff/M=")</f>
        <v>#REF!</v>
      </c>
      <c r="IK3" t="e">
        <f>AND(#REF!,"AAAAAD/ff/Q=")</f>
        <v>#REF!</v>
      </c>
      <c r="IL3" t="e">
        <f>AND(#REF!,"AAAAAD/ff/U=")</f>
        <v>#REF!</v>
      </c>
      <c r="IM3" t="e">
        <f>AND(#REF!,"AAAAAD/ff/Y=")</f>
        <v>#REF!</v>
      </c>
      <c r="IN3" t="e">
        <f>AND(#REF!,"AAAAAD/ff/c=")</f>
        <v>#REF!</v>
      </c>
      <c r="IO3" t="e">
        <f>IF(#REF!,"AAAAAD/ff/g=",0)</f>
        <v>#REF!</v>
      </c>
      <c r="IP3" t="e">
        <f>AND(#REF!,"AAAAAD/ff/k=")</f>
        <v>#REF!</v>
      </c>
      <c r="IQ3" t="e">
        <f>AND(#REF!,"AAAAAD/ff/o=")</f>
        <v>#REF!</v>
      </c>
      <c r="IR3" t="e">
        <f>AND(#REF!,"AAAAAD/ff/s=")</f>
        <v>#REF!</v>
      </c>
      <c r="IS3" t="e">
        <f>AND(#REF!,"AAAAAD/ff/w=")</f>
        <v>#REF!</v>
      </c>
      <c r="IT3" t="e">
        <f>AND(#REF!,"AAAAAD/ff/0=")</f>
        <v>#REF!</v>
      </c>
      <c r="IU3" t="e">
        <f>AND(#REF!,"AAAAAD/ff/4=")</f>
        <v>#REF!</v>
      </c>
      <c r="IV3" t="e">
        <f>AND(#REF!,"AAAAAD/ff/8=")</f>
        <v>#REF!</v>
      </c>
    </row>
    <row r="4" spans="1:256" x14ac:dyDescent="0.35">
      <c r="A4" t="e">
        <f>AND(#REF!,"AAAAAHq7+wA=")</f>
        <v>#REF!</v>
      </c>
      <c r="B4" t="e">
        <f>AND(#REF!,"AAAAAHq7+wE=")</f>
        <v>#REF!</v>
      </c>
      <c r="C4" t="e">
        <f>AND(#REF!,"AAAAAHq7+wI=")</f>
        <v>#REF!</v>
      </c>
      <c r="D4" t="e">
        <f>AND(#REF!,"AAAAAHq7+wM=")</f>
        <v>#REF!</v>
      </c>
      <c r="E4" t="e">
        <f>AND(#REF!,"AAAAAHq7+wQ=")</f>
        <v>#REF!</v>
      </c>
      <c r="F4" t="e">
        <f>AND(#REF!,"AAAAAHq7+wU=")</f>
        <v>#REF!</v>
      </c>
      <c r="G4" t="e">
        <f>AND(#REF!,"AAAAAHq7+wY=")</f>
        <v>#REF!</v>
      </c>
      <c r="H4" t="e">
        <f>AND(#REF!,"AAAAAHq7+wc=")</f>
        <v>#REF!</v>
      </c>
      <c r="I4" t="e">
        <f>AND(#REF!,"AAAAAHq7+wg=")</f>
        <v>#REF!</v>
      </c>
      <c r="J4" t="e">
        <f>AND(#REF!,"AAAAAHq7+wk=")</f>
        <v>#REF!</v>
      </c>
      <c r="K4" t="e">
        <f>AND(#REF!,"AAAAAHq7+wo=")</f>
        <v>#REF!</v>
      </c>
      <c r="L4" t="e">
        <f>AND(#REF!,"AAAAAHq7+ws=")</f>
        <v>#REF!</v>
      </c>
      <c r="M4" t="e">
        <f>AND(#REF!,"AAAAAHq7+ww=")</f>
        <v>#REF!</v>
      </c>
      <c r="N4" t="e">
        <f>AND(#REF!,"AAAAAHq7+w0=")</f>
        <v>#REF!</v>
      </c>
      <c r="O4" t="e">
        <f>AND(#REF!,"AAAAAHq7+w4=")</f>
        <v>#REF!</v>
      </c>
      <c r="P4" t="e">
        <f>AND(#REF!,"AAAAAHq7+w8=")</f>
        <v>#REF!</v>
      </c>
      <c r="Q4" t="e">
        <f>AND(#REF!,"AAAAAHq7+xA=")</f>
        <v>#REF!</v>
      </c>
      <c r="R4" t="e">
        <f>AND(#REF!,"AAAAAHq7+xE=")</f>
        <v>#REF!</v>
      </c>
      <c r="S4" t="e">
        <f>AND(#REF!,"AAAAAHq7+xI=")</f>
        <v>#REF!</v>
      </c>
      <c r="T4" t="e">
        <f>AND(#REF!,"AAAAAHq7+xM=")</f>
        <v>#REF!</v>
      </c>
      <c r="U4" t="e">
        <f>AND(#REF!,"AAAAAHq7+xQ=")</f>
        <v>#REF!</v>
      </c>
      <c r="V4" t="e">
        <f>AND(#REF!,"AAAAAHq7+xU=")</f>
        <v>#REF!</v>
      </c>
      <c r="W4" t="e">
        <f>AND(#REF!,"AAAAAHq7+xY=")</f>
        <v>#REF!</v>
      </c>
      <c r="X4" t="e">
        <f>AND(#REF!,"AAAAAHq7+xc=")</f>
        <v>#REF!</v>
      </c>
      <c r="Y4" t="e">
        <f>AND(#REF!,"AAAAAHq7+xg=")</f>
        <v>#REF!</v>
      </c>
      <c r="Z4" t="e">
        <f>IF(#REF!,"AAAAAHq7+xk=",0)</f>
        <v>#REF!</v>
      </c>
      <c r="AA4" t="e">
        <f>AND(#REF!,"AAAAAHq7+xo=")</f>
        <v>#REF!</v>
      </c>
      <c r="AB4" t="e">
        <f>AND(#REF!,"AAAAAHq7+xs=")</f>
        <v>#REF!</v>
      </c>
      <c r="AC4" t="e">
        <f>AND(#REF!,"AAAAAHq7+xw=")</f>
        <v>#REF!</v>
      </c>
      <c r="AD4" t="e">
        <f>AND(#REF!,"AAAAAHq7+x0=")</f>
        <v>#REF!</v>
      </c>
      <c r="AE4" t="e">
        <f>AND(#REF!,"AAAAAHq7+x4=")</f>
        <v>#REF!</v>
      </c>
      <c r="AF4" t="e">
        <f>AND(#REF!,"AAAAAHq7+x8=")</f>
        <v>#REF!</v>
      </c>
      <c r="AG4" t="e">
        <f>AND(#REF!,"AAAAAHq7+yA=")</f>
        <v>#REF!</v>
      </c>
      <c r="AH4" t="e">
        <f>AND(#REF!,"AAAAAHq7+yE=")</f>
        <v>#REF!</v>
      </c>
      <c r="AI4" t="e">
        <f>AND(#REF!,"AAAAAHq7+yI=")</f>
        <v>#REF!</v>
      </c>
      <c r="AJ4" t="e">
        <f>AND(#REF!,"AAAAAHq7+yM=")</f>
        <v>#REF!</v>
      </c>
      <c r="AK4" t="e">
        <f>AND(#REF!,"AAAAAHq7+yQ=")</f>
        <v>#REF!</v>
      </c>
      <c r="AL4" t="e">
        <f>AND(#REF!,"AAAAAHq7+yU=")</f>
        <v>#REF!</v>
      </c>
      <c r="AM4" t="e">
        <f>AND(#REF!,"AAAAAHq7+yY=")</f>
        <v>#REF!</v>
      </c>
      <c r="AN4" t="e">
        <f>AND(#REF!,"AAAAAHq7+yc=")</f>
        <v>#REF!</v>
      </c>
      <c r="AO4" t="e">
        <f>AND(#REF!,"AAAAAHq7+yg=")</f>
        <v>#REF!</v>
      </c>
      <c r="AP4" t="e">
        <f>AND(#REF!,"AAAAAHq7+yk=")</f>
        <v>#REF!</v>
      </c>
      <c r="AQ4" t="e">
        <f>AND(#REF!,"AAAAAHq7+yo=")</f>
        <v>#REF!</v>
      </c>
      <c r="AR4" t="e">
        <f>AND(#REF!,"AAAAAHq7+ys=")</f>
        <v>#REF!</v>
      </c>
      <c r="AS4" t="e">
        <f>AND(#REF!,"AAAAAHq7+yw=")</f>
        <v>#REF!</v>
      </c>
      <c r="AT4" t="e">
        <f>AND(#REF!,"AAAAAHq7+y0=")</f>
        <v>#REF!</v>
      </c>
      <c r="AU4" t="e">
        <f>AND(#REF!,"AAAAAHq7+y4=")</f>
        <v>#REF!</v>
      </c>
      <c r="AV4" t="e">
        <f>AND(#REF!,"AAAAAHq7+y8=")</f>
        <v>#REF!</v>
      </c>
      <c r="AW4" t="e">
        <f>AND(#REF!,"AAAAAHq7+zA=")</f>
        <v>#REF!</v>
      </c>
      <c r="AX4" t="e">
        <f>AND(#REF!,"AAAAAHq7+zE=")</f>
        <v>#REF!</v>
      </c>
      <c r="AY4" t="e">
        <f>AND(#REF!,"AAAAAHq7+zI=")</f>
        <v>#REF!</v>
      </c>
      <c r="AZ4" t="e">
        <f>AND(#REF!,"AAAAAHq7+zM=")</f>
        <v>#REF!</v>
      </c>
      <c r="BA4" t="e">
        <f>AND(#REF!,"AAAAAHq7+zQ=")</f>
        <v>#REF!</v>
      </c>
      <c r="BB4" t="e">
        <f>AND(#REF!,"AAAAAHq7+zU=")</f>
        <v>#REF!</v>
      </c>
      <c r="BC4" t="e">
        <f>AND(#REF!,"AAAAAHq7+zY=")</f>
        <v>#REF!</v>
      </c>
      <c r="BD4" t="e">
        <f>AND(#REF!,"AAAAAHq7+zc=")</f>
        <v>#REF!</v>
      </c>
      <c r="BE4" t="e">
        <f>AND(#REF!,"AAAAAHq7+zg=")</f>
        <v>#REF!</v>
      </c>
      <c r="BF4" t="e">
        <f>AND(#REF!,"AAAAAHq7+zk=")</f>
        <v>#REF!</v>
      </c>
      <c r="BG4" t="e">
        <f>IF(#REF!,"AAAAAHq7+zo=",0)</f>
        <v>#REF!</v>
      </c>
      <c r="BH4" t="e">
        <f>AND(#REF!,"AAAAAHq7+zs=")</f>
        <v>#REF!</v>
      </c>
      <c r="BI4" t="e">
        <f>AND(#REF!,"AAAAAHq7+zw=")</f>
        <v>#REF!</v>
      </c>
      <c r="BJ4" t="e">
        <f>AND(#REF!,"AAAAAHq7+z0=")</f>
        <v>#REF!</v>
      </c>
      <c r="BK4" t="e">
        <f>AND(#REF!,"AAAAAHq7+z4=")</f>
        <v>#REF!</v>
      </c>
      <c r="BL4" t="e">
        <f>AND(#REF!,"AAAAAHq7+z8=")</f>
        <v>#REF!</v>
      </c>
      <c r="BM4" t="e">
        <f>AND(#REF!,"AAAAAHq7+0A=")</f>
        <v>#REF!</v>
      </c>
      <c r="BN4" t="e">
        <f>AND(#REF!,"AAAAAHq7+0E=")</f>
        <v>#REF!</v>
      </c>
      <c r="BO4" t="e">
        <f>AND(#REF!,"AAAAAHq7+0I=")</f>
        <v>#REF!</v>
      </c>
      <c r="BP4" t="e">
        <f>AND(#REF!,"AAAAAHq7+0M=")</f>
        <v>#REF!</v>
      </c>
      <c r="BQ4" t="e">
        <f>AND(#REF!,"AAAAAHq7+0Q=")</f>
        <v>#REF!</v>
      </c>
      <c r="BR4" t="e">
        <f>AND(#REF!,"AAAAAHq7+0U=")</f>
        <v>#REF!</v>
      </c>
      <c r="BS4" t="e">
        <f>AND(#REF!,"AAAAAHq7+0Y=")</f>
        <v>#REF!</v>
      </c>
      <c r="BT4" t="e">
        <f>AND(#REF!,"AAAAAHq7+0c=")</f>
        <v>#REF!</v>
      </c>
      <c r="BU4" t="e">
        <f>AND(#REF!,"AAAAAHq7+0g=")</f>
        <v>#REF!</v>
      </c>
      <c r="BV4" t="e">
        <f>AND(#REF!,"AAAAAHq7+0k=")</f>
        <v>#REF!</v>
      </c>
      <c r="BW4" t="e">
        <f>AND(#REF!,"AAAAAHq7+0o=")</f>
        <v>#REF!</v>
      </c>
      <c r="BX4" t="e">
        <f>AND(#REF!,"AAAAAHq7+0s=")</f>
        <v>#REF!</v>
      </c>
      <c r="BY4" t="e">
        <f>AND(#REF!,"AAAAAHq7+0w=")</f>
        <v>#REF!</v>
      </c>
      <c r="BZ4" t="e">
        <f>AND(#REF!,"AAAAAHq7+00=")</f>
        <v>#REF!</v>
      </c>
      <c r="CA4" t="e">
        <f>AND(#REF!,"AAAAAHq7+04=")</f>
        <v>#REF!</v>
      </c>
      <c r="CB4" t="e">
        <f>AND(#REF!,"AAAAAHq7+08=")</f>
        <v>#REF!</v>
      </c>
      <c r="CC4" t="e">
        <f>AND(#REF!,"AAAAAHq7+1A=")</f>
        <v>#REF!</v>
      </c>
      <c r="CD4" t="e">
        <f>AND(#REF!,"AAAAAHq7+1E=")</f>
        <v>#REF!</v>
      </c>
      <c r="CE4" t="e">
        <f>AND(#REF!,"AAAAAHq7+1I=")</f>
        <v>#REF!</v>
      </c>
      <c r="CF4" t="e">
        <f>AND(#REF!,"AAAAAHq7+1M=")</f>
        <v>#REF!</v>
      </c>
      <c r="CG4" t="e">
        <f>AND(#REF!,"AAAAAHq7+1Q=")</f>
        <v>#REF!</v>
      </c>
      <c r="CH4" t="e">
        <f>AND(#REF!,"AAAAAHq7+1U=")</f>
        <v>#REF!</v>
      </c>
      <c r="CI4" t="e">
        <f>AND(#REF!,"AAAAAHq7+1Y=")</f>
        <v>#REF!</v>
      </c>
      <c r="CJ4" t="e">
        <f>AND(#REF!,"AAAAAHq7+1c=")</f>
        <v>#REF!</v>
      </c>
      <c r="CK4" t="e">
        <f>AND(#REF!,"AAAAAHq7+1g=")</f>
        <v>#REF!</v>
      </c>
      <c r="CL4" t="e">
        <f>AND(#REF!,"AAAAAHq7+1k=")</f>
        <v>#REF!</v>
      </c>
      <c r="CM4" t="e">
        <f>AND(#REF!,"AAAAAHq7+1o=")</f>
        <v>#REF!</v>
      </c>
      <c r="CN4" t="e">
        <f>IF(#REF!,"AAAAAHq7+1s=",0)</f>
        <v>#REF!</v>
      </c>
      <c r="CO4" t="e">
        <f>AND(#REF!,"AAAAAHq7+1w=")</f>
        <v>#REF!</v>
      </c>
      <c r="CP4" t="e">
        <f>AND(#REF!,"AAAAAHq7+10=")</f>
        <v>#REF!</v>
      </c>
      <c r="CQ4" t="e">
        <f>AND(#REF!,"AAAAAHq7+14=")</f>
        <v>#REF!</v>
      </c>
      <c r="CR4" t="e">
        <f>AND(#REF!,"AAAAAHq7+18=")</f>
        <v>#REF!</v>
      </c>
      <c r="CS4" t="e">
        <f>AND(#REF!,"AAAAAHq7+2A=")</f>
        <v>#REF!</v>
      </c>
      <c r="CT4" t="e">
        <f>AND(#REF!,"AAAAAHq7+2E=")</f>
        <v>#REF!</v>
      </c>
      <c r="CU4" t="e">
        <f>AND(#REF!,"AAAAAHq7+2I=")</f>
        <v>#REF!</v>
      </c>
      <c r="CV4" t="e">
        <f>AND(#REF!,"AAAAAHq7+2M=")</f>
        <v>#REF!</v>
      </c>
      <c r="CW4" t="e">
        <f>AND(#REF!,"AAAAAHq7+2Q=")</f>
        <v>#REF!</v>
      </c>
      <c r="CX4" t="e">
        <f>AND(#REF!,"AAAAAHq7+2U=")</f>
        <v>#REF!</v>
      </c>
      <c r="CY4" t="e">
        <f>AND(#REF!,"AAAAAHq7+2Y=")</f>
        <v>#REF!</v>
      </c>
      <c r="CZ4" t="e">
        <f>AND(#REF!,"AAAAAHq7+2c=")</f>
        <v>#REF!</v>
      </c>
      <c r="DA4" t="e">
        <f>AND(#REF!,"AAAAAHq7+2g=")</f>
        <v>#REF!</v>
      </c>
      <c r="DB4" t="e">
        <f>AND(#REF!,"AAAAAHq7+2k=")</f>
        <v>#REF!</v>
      </c>
      <c r="DC4" t="e">
        <f>AND(#REF!,"AAAAAHq7+2o=")</f>
        <v>#REF!</v>
      </c>
      <c r="DD4" t="e">
        <f>AND(#REF!,"AAAAAHq7+2s=")</f>
        <v>#REF!</v>
      </c>
      <c r="DE4" t="e">
        <f>AND(#REF!,"AAAAAHq7+2w=")</f>
        <v>#REF!</v>
      </c>
      <c r="DF4" t="e">
        <f>AND(#REF!,"AAAAAHq7+20=")</f>
        <v>#REF!</v>
      </c>
      <c r="DG4" t="e">
        <f>AND(#REF!,"AAAAAHq7+24=")</f>
        <v>#REF!</v>
      </c>
      <c r="DH4" t="e">
        <f>AND(#REF!,"AAAAAHq7+28=")</f>
        <v>#REF!</v>
      </c>
      <c r="DI4" t="e">
        <f>AND(#REF!,"AAAAAHq7+3A=")</f>
        <v>#REF!</v>
      </c>
      <c r="DJ4" t="e">
        <f>AND(#REF!,"AAAAAHq7+3E=")</f>
        <v>#REF!</v>
      </c>
      <c r="DK4" t="e">
        <f>AND(#REF!,"AAAAAHq7+3I=")</f>
        <v>#REF!</v>
      </c>
      <c r="DL4" t="e">
        <f>AND(#REF!,"AAAAAHq7+3M=")</f>
        <v>#REF!</v>
      </c>
      <c r="DM4" t="e">
        <f>AND(#REF!,"AAAAAHq7+3Q=")</f>
        <v>#REF!</v>
      </c>
      <c r="DN4" t="e">
        <f>AND(#REF!,"AAAAAHq7+3U=")</f>
        <v>#REF!</v>
      </c>
      <c r="DO4" t="e">
        <f>AND(#REF!,"AAAAAHq7+3Y=")</f>
        <v>#REF!</v>
      </c>
      <c r="DP4" t="e">
        <f>AND(#REF!,"AAAAAHq7+3c=")</f>
        <v>#REF!</v>
      </c>
      <c r="DQ4" t="e">
        <f>AND(#REF!,"AAAAAHq7+3g=")</f>
        <v>#REF!</v>
      </c>
      <c r="DR4" t="e">
        <f>AND(#REF!,"AAAAAHq7+3k=")</f>
        <v>#REF!</v>
      </c>
      <c r="DS4" t="e">
        <f>AND(#REF!,"AAAAAHq7+3o=")</f>
        <v>#REF!</v>
      </c>
      <c r="DT4" t="e">
        <f>AND(#REF!,"AAAAAHq7+3s=")</f>
        <v>#REF!</v>
      </c>
      <c r="DU4" t="e">
        <f>IF(#REF!,"AAAAAHq7+3w=",0)</f>
        <v>#REF!</v>
      </c>
      <c r="DV4" t="e">
        <f>AND(#REF!,"AAAAAHq7+30=")</f>
        <v>#REF!</v>
      </c>
      <c r="DW4" t="e">
        <f>AND(#REF!,"AAAAAHq7+34=")</f>
        <v>#REF!</v>
      </c>
      <c r="DX4" t="e">
        <f>AND(#REF!,"AAAAAHq7+38=")</f>
        <v>#REF!</v>
      </c>
      <c r="DY4" t="e">
        <f>AND(#REF!,"AAAAAHq7+4A=")</f>
        <v>#REF!</v>
      </c>
      <c r="DZ4" t="e">
        <f>AND(#REF!,"AAAAAHq7+4E=")</f>
        <v>#REF!</v>
      </c>
      <c r="EA4" t="e">
        <f>AND(#REF!,"AAAAAHq7+4I=")</f>
        <v>#REF!</v>
      </c>
      <c r="EB4" t="e">
        <f>AND(#REF!,"AAAAAHq7+4M=")</f>
        <v>#REF!</v>
      </c>
      <c r="EC4" t="e">
        <f>AND(#REF!,"AAAAAHq7+4Q=")</f>
        <v>#REF!</v>
      </c>
      <c r="ED4" t="e">
        <f>AND(#REF!,"AAAAAHq7+4U=")</f>
        <v>#REF!</v>
      </c>
      <c r="EE4" t="e">
        <f>AND(#REF!,"AAAAAHq7+4Y=")</f>
        <v>#REF!</v>
      </c>
      <c r="EF4" t="e">
        <f>AND(#REF!,"AAAAAHq7+4c=")</f>
        <v>#REF!</v>
      </c>
      <c r="EG4" t="e">
        <f>AND(#REF!,"AAAAAHq7+4g=")</f>
        <v>#REF!</v>
      </c>
      <c r="EH4" t="e">
        <f>AND(#REF!,"AAAAAHq7+4k=")</f>
        <v>#REF!</v>
      </c>
      <c r="EI4" t="e">
        <f>AND(#REF!,"AAAAAHq7+4o=")</f>
        <v>#REF!</v>
      </c>
      <c r="EJ4" t="e">
        <f>AND(#REF!,"AAAAAHq7+4s=")</f>
        <v>#REF!</v>
      </c>
      <c r="EK4" t="e">
        <f>AND(#REF!,"AAAAAHq7+4w=")</f>
        <v>#REF!</v>
      </c>
      <c r="EL4" t="e">
        <f>AND(#REF!,"AAAAAHq7+40=")</f>
        <v>#REF!</v>
      </c>
      <c r="EM4" t="e">
        <f>AND(#REF!,"AAAAAHq7+44=")</f>
        <v>#REF!</v>
      </c>
      <c r="EN4" t="e">
        <f>AND(#REF!,"AAAAAHq7+48=")</f>
        <v>#REF!</v>
      </c>
      <c r="EO4" t="e">
        <f>AND(#REF!,"AAAAAHq7+5A=")</f>
        <v>#REF!</v>
      </c>
      <c r="EP4" t="e">
        <f>AND(#REF!,"AAAAAHq7+5E=")</f>
        <v>#REF!</v>
      </c>
      <c r="EQ4" t="e">
        <f>AND(#REF!,"AAAAAHq7+5I=")</f>
        <v>#REF!</v>
      </c>
      <c r="ER4" t="e">
        <f>AND(#REF!,"AAAAAHq7+5M=")</f>
        <v>#REF!</v>
      </c>
      <c r="ES4" t="e">
        <f>AND(#REF!,"AAAAAHq7+5Q=")</f>
        <v>#REF!</v>
      </c>
      <c r="ET4" t="e">
        <f>AND(#REF!,"AAAAAHq7+5U=")</f>
        <v>#REF!</v>
      </c>
      <c r="EU4" t="e">
        <f>AND(#REF!,"AAAAAHq7+5Y=")</f>
        <v>#REF!</v>
      </c>
      <c r="EV4" t="e">
        <f>AND(#REF!,"AAAAAHq7+5c=")</f>
        <v>#REF!</v>
      </c>
      <c r="EW4" t="e">
        <f>AND(#REF!,"AAAAAHq7+5g=")</f>
        <v>#REF!</v>
      </c>
      <c r="EX4" t="e">
        <f>AND(#REF!,"AAAAAHq7+5k=")</f>
        <v>#REF!</v>
      </c>
      <c r="EY4" t="e">
        <f>AND(#REF!,"AAAAAHq7+5o=")</f>
        <v>#REF!</v>
      </c>
      <c r="EZ4" t="e">
        <f>AND(#REF!,"AAAAAHq7+5s=")</f>
        <v>#REF!</v>
      </c>
      <c r="FA4" t="e">
        <f>AND(#REF!,"AAAAAHq7+5w=")</f>
        <v>#REF!</v>
      </c>
      <c r="FB4" t="e">
        <f>IF(#REF!,"AAAAAHq7+50=",0)</f>
        <v>#REF!</v>
      </c>
      <c r="FC4" t="e">
        <f>AND(#REF!,"AAAAAHq7+54=")</f>
        <v>#REF!</v>
      </c>
      <c r="FD4" t="e">
        <f>AND(#REF!,"AAAAAHq7+58=")</f>
        <v>#REF!</v>
      </c>
      <c r="FE4" t="e">
        <f>AND(#REF!,"AAAAAHq7+6A=")</f>
        <v>#REF!</v>
      </c>
      <c r="FF4" t="e">
        <f>AND(#REF!,"AAAAAHq7+6E=")</f>
        <v>#REF!</v>
      </c>
      <c r="FG4" t="e">
        <f>AND(#REF!,"AAAAAHq7+6I=")</f>
        <v>#REF!</v>
      </c>
      <c r="FH4" t="e">
        <f>AND(#REF!,"AAAAAHq7+6M=")</f>
        <v>#REF!</v>
      </c>
      <c r="FI4" t="e">
        <f>AND(#REF!,"AAAAAHq7+6Q=")</f>
        <v>#REF!</v>
      </c>
      <c r="FJ4" t="e">
        <f>AND(#REF!,"AAAAAHq7+6U=")</f>
        <v>#REF!</v>
      </c>
      <c r="FK4" t="e">
        <f>AND(#REF!,"AAAAAHq7+6Y=")</f>
        <v>#REF!</v>
      </c>
      <c r="FL4" t="e">
        <f>AND(#REF!,"AAAAAHq7+6c=")</f>
        <v>#REF!</v>
      </c>
      <c r="FM4" t="e">
        <f>AND(#REF!,"AAAAAHq7+6g=")</f>
        <v>#REF!</v>
      </c>
      <c r="FN4" t="e">
        <f>AND(#REF!,"AAAAAHq7+6k=")</f>
        <v>#REF!</v>
      </c>
      <c r="FO4" t="e">
        <f>AND(#REF!,"AAAAAHq7+6o=")</f>
        <v>#REF!</v>
      </c>
      <c r="FP4" t="e">
        <f>AND(#REF!,"AAAAAHq7+6s=")</f>
        <v>#REF!</v>
      </c>
      <c r="FQ4" t="e">
        <f>AND(#REF!,"AAAAAHq7+6w=")</f>
        <v>#REF!</v>
      </c>
      <c r="FR4" t="e">
        <f>AND(#REF!,"AAAAAHq7+60=")</f>
        <v>#REF!</v>
      </c>
      <c r="FS4" t="e">
        <f>AND(#REF!,"AAAAAHq7+64=")</f>
        <v>#REF!</v>
      </c>
      <c r="FT4" t="e">
        <f>AND(#REF!,"AAAAAHq7+68=")</f>
        <v>#REF!</v>
      </c>
      <c r="FU4" t="e">
        <f>AND(#REF!,"AAAAAHq7+7A=")</f>
        <v>#REF!</v>
      </c>
      <c r="FV4" t="e">
        <f>AND(#REF!,"AAAAAHq7+7E=")</f>
        <v>#REF!</v>
      </c>
      <c r="FW4" t="e">
        <f>AND(#REF!,"AAAAAHq7+7I=")</f>
        <v>#REF!</v>
      </c>
      <c r="FX4" t="e">
        <f>AND(#REF!,"AAAAAHq7+7M=")</f>
        <v>#REF!</v>
      </c>
      <c r="FY4" t="e">
        <f>AND(#REF!,"AAAAAHq7+7Q=")</f>
        <v>#REF!</v>
      </c>
      <c r="FZ4" t="e">
        <f>AND(#REF!,"AAAAAHq7+7U=")</f>
        <v>#REF!</v>
      </c>
      <c r="GA4" t="e">
        <f>AND(#REF!,"AAAAAHq7+7Y=")</f>
        <v>#REF!</v>
      </c>
      <c r="GB4" t="e">
        <f>AND(#REF!,"AAAAAHq7+7c=")</f>
        <v>#REF!</v>
      </c>
      <c r="GC4" t="e">
        <f>AND(#REF!,"AAAAAHq7+7g=")</f>
        <v>#REF!</v>
      </c>
      <c r="GD4" t="e">
        <f>AND(#REF!,"AAAAAHq7+7k=")</f>
        <v>#REF!</v>
      </c>
      <c r="GE4" t="e">
        <f>AND(#REF!,"AAAAAHq7+7o=")</f>
        <v>#REF!</v>
      </c>
      <c r="GF4" t="e">
        <f>AND(#REF!,"AAAAAHq7+7s=")</f>
        <v>#REF!</v>
      </c>
      <c r="GG4" t="e">
        <f>AND(#REF!,"AAAAAHq7+7w=")</f>
        <v>#REF!</v>
      </c>
      <c r="GH4" t="e">
        <f>AND(#REF!,"AAAAAHq7+70=")</f>
        <v>#REF!</v>
      </c>
      <c r="GI4" t="e">
        <f>IF(#REF!,"AAAAAHq7+74=",0)</f>
        <v>#REF!</v>
      </c>
      <c r="GJ4" t="e">
        <f>AND(#REF!,"AAAAAHq7+78=")</f>
        <v>#REF!</v>
      </c>
      <c r="GK4" t="e">
        <f>AND(#REF!,"AAAAAHq7+8A=")</f>
        <v>#REF!</v>
      </c>
      <c r="GL4" t="e">
        <f>AND(#REF!,"AAAAAHq7+8E=")</f>
        <v>#REF!</v>
      </c>
      <c r="GM4" t="e">
        <f>AND(#REF!,"AAAAAHq7+8I=")</f>
        <v>#REF!</v>
      </c>
      <c r="GN4" t="e">
        <f>AND(#REF!,"AAAAAHq7+8M=")</f>
        <v>#REF!</v>
      </c>
      <c r="GO4" t="e">
        <f>AND(#REF!,"AAAAAHq7+8Q=")</f>
        <v>#REF!</v>
      </c>
      <c r="GP4" t="e">
        <f>AND(#REF!,"AAAAAHq7+8U=")</f>
        <v>#REF!</v>
      </c>
      <c r="GQ4" t="e">
        <f>AND(#REF!,"AAAAAHq7+8Y=")</f>
        <v>#REF!</v>
      </c>
      <c r="GR4" t="e">
        <f>AND(#REF!,"AAAAAHq7+8c=")</f>
        <v>#REF!</v>
      </c>
      <c r="GS4" t="e">
        <f>AND(#REF!,"AAAAAHq7+8g=")</f>
        <v>#REF!</v>
      </c>
      <c r="GT4" t="e">
        <f>AND(#REF!,"AAAAAHq7+8k=")</f>
        <v>#REF!</v>
      </c>
      <c r="GU4" t="e">
        <f>AND(#REF!,"AAAAAHq7+8o=")</f>
        <v>#REF!</v>
      </c>
      <c r="GV4" t="e">
        <f>AND(#REF!,"AAAAAHq7+8s=")</f>
        <v>#REF!</v>
      </c>
      <c r="GW4" t="e">
        <f>AND(#REF!,"AAAAAHq7+8w=")</f>
        <v>#REF!</v>
      </c>
      <c r="GX4" t="e">
        <f>AND(#REF!,"AAAAAHq7+80=")</f>
        <v>#REF!</v>
      </c>
      <c r="GY4" t="e">
        <f>AND(#REF!,"AAAAAHq7+84=")</f>
        <v>#REF!</v>
      </c>
      <c r="GZ4" t="e">
        <f>AND(#REF!,"AAAAAHq7+88=")</f>
        <v>#REF!</v>
      </c>
      <c r="HA4" t="e">
        <f>AND(#REF!,"AAAAAHq7+9A=")</f>
        <v>#REF!</v>
      </c>
      <c r="HB4" t="e">
        <f>AND(#REF!,"AAAAAHq7+9E=")</f>
        <v>#REF!</v>
      </c>
      <c r="HC4" t="e">
        <f>AND(#REF!,"AAAAAHq7+9I=")</f>
        <v>#REF!</v>
      </c>
      <c r="HD4" t="e">
        <f>AND(#REF!,"AAAAAHq7+9M=")</f>
        <v>#REF!</v>
      </c>
      <c r="HE4" t="e">
        <f>AND(#REF!,"AAAAAHq7+9Q=")</f>
        <v>#REF!</v>
      </c>
      <c r="HF4" t="e">
        <f>AND(#REF!,"AAAAAHq7+9U=")</f>
        <v>#REF!</v>
      </c>
      <c r="HG4" t="e">
        <f>AND(#REF!,"AAAAAHq7+9Y=")</f>
        <v>#REF!</v>
      </c>
      <c r="HH4" t="e">
        <f>AND(#REF!,"AAAAAHq7+9c=")</f>
        <v>#REF!</v>
      </c>
      <c r="HI4" t="e">
        <f>AND(#REF!,"AAAAAHq7+9g=")</f>
        <v>#REF!</v>
      </c>
      <c r="HJ4" t="e">
        <f>AND(#REF!,"AAAAAHq7+9k=")</f>
        <v>#REF!</v>
      </c>
      <c r="HK4" t="e">
        <f>AND(#REF!,"AAAAAHq7+9o=")</f>
        <v>#REF!</v>
      </c>
      <c r="HL4" t="e">
        <f>AND(#REF!,"AAAAAHq7+9s=")</f>
        <v>#REF!</v>
      </c>
      <c r="HM4" t="e">
        <f>AND(#REF!,"AAAAAHq7+9w=")</f>
        <v>#REF!</v>
      </c>
      <c r="HN4" t="e">
        <f>AND(#REF!,"AAAAAHq7+90=")</f>
        <v>#REF!</v>
      </c>
      <c r="HO4" t="e">
        <f>AND(#REF!,"AAAAAHq7+94=")</f>
        <v>#REF!</v>
      </c>
      <c r="HP4" t="e">
        <f>IF(#REF!,"AAAAAHq7+98=",0)</f>
        <v>#REF!</v>
      </c>
      <c r="HQ4" t="e">
        <f>AND(#REF!,"AAAAAHq7++A=")</f>
        <v>#REF!</v>
      </c>
      <c r="HR4" t="e">
        <f>AND(#REF!,"AAAAAHq7++E=")</f>
        <v>#REF!</v>
      </c>
      <c r="HS4" t="e">
        <f>AND(#REF!,"AAAAAHq7++I=")</f>
        <v>#REF!</v>
      </c>
      <c r="HT4" t="e">
        <f>AND(#REF!,"AAAAAHq7++M=")</f>
        <v>#REF!</v>
      </c>
      <c r="HU4" t="e">
        <f>AND(#REF!,"AAAAAHq7++Q=")</f>
        <v>#REF!</v>
      </c>
      <c r="HV4" t="e">
        <f>AND(#REF!,"AAAAAHq7++U=")</f>
        <v>#REF!</v>
      </c>
      <c r="HW4" t="e">
        <f>AND(#REF!,"AAAAAHq7++Y=")</f>
        <v>#REF!</v>
      </c>
      <c r="HX4" t="e">
        <f>AND(#REF!,"AAAAAHq7++c=")</f>
        <v>#REF!</v>
      </c>
      <c r="HY4" t="e">
        <f>AND(#REF!,"AAAAAHq7++g=")</f>
        <v>#REF!</v>
      </c>
      <c r="HZ4" t="e">
        <f>AND(#REF!,"AAAAAHq7++k=")</f>
        <v>#REF!</v>
      </c>
      <c r="IA4" t="e">
        <f>AND(#REF!,"AAAAAHq7++o=")</f>
        <v>#REF!</v>
      </c>
      <c r="IB4" t="e">
        <f>AND(#REF!,"AAAAAHq7++s=")</f>
        <v>#REF!</v>
      </c>
      <c r="IC4" t="e">
        <f>AND(#REF!,"AAAAAHq7++w=")</f>
        <v>#REF!</v>
      </c>
      <c r="ID4" t="e">
        <f>AND(#REF!,"AAAAAHq7++0=")</f>
        <v>#REF!</v>
      </c>
      <c r="IE4" t="e">
        <f>AND(#REF!,"AAAAAHq7++4=")</f>
        <v>#REF!</v>
      </c>
      <c r="IF4" t="e">
        <f>AND(#REF!,"AAAAAHq7++8=")</f>
        <v>#REF!</v>
      </c>
      <c r="IG4" t="e">
        <f>AND(#REF!,"AAAAAHq7+/A=")</f>
        <v>#REF!</v>
      </c>
      <c r="IH4" t="e">
        <f>AND(#REF!,"AAAAAHq7+/E=")</f>
        <v>#REF!</v>
      </c>
      <c r="II4" t="e">
        <f>AND(#REF!,"AAAAAHq7+/I=")</f>
        <v>#REF!</v>
      </c>
      <c r="IJ4" t="e">
        <f>AND(#REF!,"AAAAAHq7+/M=")</f>
        <v>#REF!</v>
      </c>
      <c r="IK4" t="e">
        <f>AND(#REF!,"AAAAAHq7+/Q=")</f>
        <v>#REF!</v>
      </c>
      <c r="IL4" t="e">
        <f>AND(#REF!,"AAAAAHq7+/U=")</f>
        <v>#REF!</v>
      </c>
      <c r="IM4" t="e">
        <f>AND(#REF!,"AAAAAHq7+/Y=")</f>
        <v>#REF!</v>
      </c>
      <c r="IN4" t="e">
        <f>AND(#REF!,"AAAAAHq7+/c=")</f>
        <v>#REF!</v>
      </c>
      <c r="IO4" t="e">
        <f>AND(#REF!,"AAAAAHq7+/g=")</f>
        <v>#REF!</v>
      </c>
      <c r="IP4" t="e">
        <f>AND(#REF!,"AAAAAHq7+/k=")</f>
        <v>#REF!</v>
      </c>
      <c r="IQ4" t="e">
        <f>AND(#REF!,"AAAAAHq7+/o=")</f>
        <v>#REF!</v>
      </c>
      <c r="IR4" t="e">
        <f>AND(#REF!,"AAAAAHq7+/s=")</f>
        <v>#REF!</v>
      </c>
      <c r="IS4" t="e">
        <f>AND(#REF!,"AAAAAHq7+/w=")</f>
        <v>#REF!</v>
      </c>
      <c r="IT4" t="e">
        <f>AND(#REF!,"AAAAAHq7+/0=")</f>
        <v>#REF!</v>
      </c>
      <c r="IU4" t="e">
        <f>AND(#REF!,"AAAAAHq7+/4=")</f>
        <v>#REF!</v>
      </c>
      <c r="IV4" t="e">
        <f>AND(#REF!,"AAAAAHq7+/8=")</f>
        <v>#REF!</v>
      </c>
    </row>
    <row r="5" spans="1:256" x14ac:dyDescent="0.35">
      <c r="A5" t="e">
        <f>IF(#REF!,"AAAAAH/9/QA=",0)</f>
        <v>#REF!</v>
      </c>
      <c r="B5" t="e">
        <f>AND(#REF!,"AAAAAH/9/QE=")</f>
        <v>#REF!</v>
      </c>
      <c r="C5" t="e">
        <f>AND(#REF!,"AAAAAH/9/QI=")</f>
        <v>#REF!</v>
      </c>
      <c r="D5" t="e">
        <f>AND(#REF!,"AAAAAH/9/QM=")</f>
        <v>#REF!</v>
      </c>
      <c r="E5" t="e">
        <f>AND(#REF!,"AAAAAH/9/QQ=")</f>
        <v>#REF!</v>
      </c>
      <c r="F5" t="e">
        <f>AND(#REF!,"AAAAAH/9/QU=")</f>
        <v>#REF!</v>
      </c>
      <c r="G5" t="e">
        <f>AND(#REF!,"AAAAAH/9/QY=")</f>
        <v>#REF!</v>
      </c>
      <c r="H5" t="e">
        <f>AND(#REF!,"AAAAAH/9/Qc=")</f>
        <v>#REF!</v>
      </c>
      <c r="I5" t="e">
        <f>AND(#REF!,"AAAAAH/9/Qg=")</f>
        <v>#REF!</v>
      </c>
      <c r="J5" t="e">
        <f>AND(#REF!,"AAAAAH/9/Qk=")</f>
        <v>#REF!</v>
      </c>
      <c r="K5" t="e">
        <f>AND(#REF!,"AAAAAH/9/Qo=")</f>
        <v>#REF!</v>
      </c>
      <c r="L5" t="e">
        <f>AND(#REF!,"AAAAAH/9/Qs=")</f>
        <v>#REF!</v>
      </c>
      <c r="M5" t="e">
        <f>AND(#REF!,"AAAAAH/9/Qw=")</f>
        <v>#REF!</v>
      </c>
      <c r="N5" t="e">
        <f>AND(#REF!,"AAAAAH/9/Q0=")</f>
        <v>#REF!</v>
      </c>
      <c r="O5" t="e">
        <f>AND(#REF!,"AAAAAH/9/Q4=")</f>
        <v>#REF!</v>
      </c>
      <c r="P5" t="e">
        <f>AND(#REF!,"AAAAAH/9/Q8=")</f>
        <v>#REF!</v>
      </c>
      <c r="Q5" t="e">
        <f>AND(#REF!,"AAAAAH/9/RA=")</f>
        <v>#REF!</v>
      </c>
      <c r="R5" t="e">
        <f>AND(#REF!,"AAAAAH/9/RE=")</f>
        <v>#REF!</v>
      </c>
      <c r="S5" t="e">
        <f>AND(#REF!,"AAAAAH/9/RI=")</f>
        <v>#REF!</v>
      </c>
      <c r="T5" t="e">
        <f>AND(#REF!,"AAAAAH/9/RM=")</f>
        <v>#REF!</v>
      </c>
      <c r="U5" t="e">
        <f>AND(#REF!,"AAAAAH/9/RQ=")</f>
        <v>#REF!</v>
      </c>
      <c r="V5" t="e">
        <f>AND(#REF!,"AAAAAH/9/RU=")</f>
        <v>#REF!</v>
      </c>
      <c r="W5" t="e">
        <f>AND(#REF!,"AAAAAH/9/RY=")</f>
        <v>#REF!</v>
      </c>
      <c r="X5" t="e">
        <f>AND(#REF!,"AAAAAH/9/Rc=")</f>
        <v>#REF!</v>
      </c>
      <c r="Y5" t="e">
        <f>AND(#REF!,"AAAAAH/9/Rg=")</f>
        <v>#REF!</v>
      </c>
      <c r="Z5" t="e">
        <f>AND(#REF!,"AAAAAH/9/Rk=")</f>
        <v>#REF!</v>
      </c>
      <c r="AA5" t="e">
        <f>AND(#REF!,"AAAAAH/9/Ro=")</f>
        <v>#REF!</v>
      </c>
      <c r="AB5" t="e">
        <f>AND(#REF!,"AAAAAH/9/Rs=")</f>
        <v>#REF!</v>
      </c>
      <c r="AC5" t="e">
        <f>AND(#REF!,"AAAAAH/9/Rw=")</f>
        <v>#REF!</v>
      </c>
      <c r="AD5" t="e">
        <f>AND(#REF!,"AAAAAH/9/R0=")</f>
        <v>#REF!</v>
      </c>
      <c r="AE5" t="e">
        <f>AND(#REF!,"AAAAAH/9/R4=")</f>
        <v>#REF!</v>
      </c>
      <c r="AF5" t="e">
        <f>AND(#REF!,"AAAAAH/9/R8=")</f>
        <v>#REF!</v>
      </c>
      <c r="AG5" t="e">
        <f>AND(#REF!,"AAAAAH/9/SA=")</f>
        <v>#REF!</v>
      </c>
      <c r="AH5" t="e">
        <f>IF(#REF!,"AAAAAH/9/SE=",0)</f>
        <v>#REF!</v>
      </c>
      <c r="AI5" t="e">
        <f>AND(#REF!,"AAAAAH/9/SI=")</f>
        <v>#REF!</v>
      </c>
      <c r="AJ5" t="e">
        <f>AND(#REF!,"AAAAAH/9/SM=")</f>
        <v>#REF!</v>
      </c>
      <c r="AK5" t="e">
        <f>AND(#REF!,"AAAAAH/9/SQ=")</f>
        <v>#REF!</v>
      </c>
      <c r="AL5" t="e">
        <f>AND(#REF!,"AAAAAH/9/SU=")</f>
        <v>#REF!</v>
      </c>
      <c r="AM5" t="e">
        <f>AND(#REF!,"AAAAAH/9/SY=")</f>
        <v>#REF!</v>
      </c>
      <c r="AN5" t="e">
        <f>AND(#REF!,"AAAAAH/9/Sc=")</f>
        <v>#REF!</v>
      </c>
      <c r="AO5" t="e">
        <f>AND(#REF!,"AAAAAH/9/Sg=")</f>
        <v>#REF!</v>
      </c>
      <c r="AP5" t="e">
        <f>AND(#REF!,"AAAAAH/9/Sk=")</f>
        <v>#REF!</v>
      </c>
      <c r="AQ5" t="e">
        <f>AND(#REF!,"AAAAAH/9/So=")</f>
        <v>#REF!</v>
      </c>
      <c r="AR5" t="e">
        <f>AND(#REF!,"AAAAAH/9/Ss=")</f>
        <v>#REF!</v>
      </c>
      <c r="AS5" t="e">
        <f>AND(#REF!,"AAAAAH/9/Sw=")</f>
        <v>#REF!</v>
      </c>
      <c r="AT5" t="e">
        <f>AND(#REF!,"AAAAAH/9/S0=")</f>
        <v>#REF!</v>
      </c>
      <c r="AU5" t="e">
        <f>AND(#REF!,"AAAAAH/9/S4=")</f>
        <v>#REF!</v>
      </c>
      <c r="AV5" t="e">
        <f>AND(#REF!,"AAAAAH/9/S8=")</f>
        <v>#REF!</v>
      </c>
      <c r="AW5" t="e">
        <f>AND(#REF!,"AAAAAH/9/TA=")</f>
        <v>#REF!</v>
      </c>
      <c r="AX5" t="e">
        <f>AND(#REF!,"AAAAAH/9/TE=")</f>
        <v>#REF!</v>
      </c>
      <c r="AY5" t="e">
        <f>AND(#REF!,"AAAAAH/9/TI=")</f>
        <v>#REF!</v>
      </c>
      <c r="AZ5" t="e">
        <f>AND(#REF!,"AAAAAH/9/TM=")</f>
        <v>#REF!</v>
      </c>
      <c r="BA5" t="e">
        <f>AND(#REF!,"AAAAAH/9/TQ=")</f>
        <v>#REF!</v>
      </c>
      <c r="BB5" t="e">
        <f>AND(#REF!,"AAAAAH/9/TU=")</f>
        <v>#REF!</v>
      </c>
      <c r="BC5" t="e">
        <f>AND(#REF!,"AAAAAH/9/TY=")</f>
        <v>#REF!</v>
      </c>
      <c r="BD5" t="e">
        <f>AND(#REF!,"AAAAAH/9/Tc=")</f>
        <v>#REF!</v>
      </c>
      <c r="BE5" t="e">
        <f>AND(#REF!,"AAAAAH/9/Tg=")</f>
        <v>#REF!</v>
      </c>
      <c r="BF5" t="e">
        <f>AND(#REF!,"AAAAAH/9/Tk=")</f>
        <v>#REF!</v>
      </c>
      <c r="BG5" t="e">
        <f>AND(#REF!,"AAAAAH/9/To=")</f>
        <v>#REF!</v>
      </c>
      <c r="BH5" t="e">
        <f>AND(#REF!,"AAAAAH/9/Ts=")</f>
        <v>#REF!</v>
      </c>
      <c r="BI5" t="e">
        <f>AND(#REF!,"AAAAAH/9/Tw=")</f>
        <v>#REF!</v>
      </c>
      <c r="BJ5" t="e">
        <f>AND(#REF!,"AAAAAH/9/T0=")</f>
        <v>#REF!</v>
      </c>
      <c r="BK5" t="e">
        <f>AND(#REF!,"AAAAAH/9/T4=")</f>
        <v>#REF!</v>
      </c>
      <c r="BL5" t="e">
        <f>AND(#REF!,"AAAAAH/9/T8=")</f>
        <v>#REF!</v>
      </c>
      <c r="BM5" t="e">
        <f>AND(#REF!,"AAAAAH/9/UA=")</f>
        <v>#REF!</v>
      </c>
      <c r="BN5" t="e">
        <f>AND(#REF!,"AAAAAH/9/UE=")</f>
        <v>#REF!</v>
      </c>
      <c r="BO5" t="e">
        <f>IF(#REF!,"AAAAAH/9/UI=",0)</f>
        <v>#REF!</v>
      </c>
      <c r="BP5" t="e">
        <f>AND(#REF!,"AAAAAH/9/UM=")</f>
        <v>#REF!</v>
      </c>
      <c r="BQ5" t="e">
        <f>AND(#REF!,"AAAAAH/9/UQ=")</f>
        <v>#REF!</v>
      </c>
      <c r="BR5" t="e">
        <f>AND(#REF!,"AAAAAH/9/UU=")</f>
        <v>#REF!</v>
      </c>
      <c r="BS5" t="e">
        <f>AND(#REF!,"AAAAAH/9/UY=")</f>
        <v>#REF!</v>
      </c>
      <c r="BT5" t="e">
        <f>AND(#REF!,"AAAAAH/9/Uc=")</f>
        <v>#REF!</v>
      </c>
      <c r="BU5" t="e">
        <f>AND(#REF!,"AAAAAH/9/Ug=")</f>
        <v>#REF!</v>
      </c>
      <c r="BV5" t="e">
        <f>AND(#REF!,"AAAAAH/9/Uk=")</f>
        <v>#REF!</v>
      </c>
      <c r="BW5" t="e">
        <f>AND(#REF!,"AAAAAH/9/Uo=")</f>
        <v>#REF!</v>
      </c>
      <c r="BX5" t="e">
        <f>AND(#REF!,"AAAAAH/9/Us=")</f>
        <v>#REF!</v>
      </c>
      <c r="BY5" t="e">
        <f>AND(#REF!,"AAAAAH/9/Uw=")</f>
        <v>#REF!</v>
      </c>
      <c r="BZ5" t="e">
        <f>AND(#REF!,"AAAAAH/9/U0=")</f>
        <v>#REF!</v>
      </c>
      <c r="CA5" t="e">
        <f>AND(#REF!,"AAAAAH/9/U4=")</f>
        <v>#REF!</v>
      </c>
      <c r="CB5" t="e">
        <f>AND(#REF!,"AAAAAH/9/U8=")</f>
        <v>#REF!</v>
      </c>
      <c r="CC5" t="e">
        <f>AND(#REF!,"AAAAAH/9/VA=")</f>
        <v>#REF!</v>
      </c>
      <c r="CD5" t="e">
        <f>AND(#REF!,"AAAAAH/9/VE=")</f>
        <v>#REF!</v>
      </c>
      <c r="CE5" t="e">
        <f>AND(#REF!,"AAAAAH/9/VI=")</f>
        <v>#REF!</v>
      </c>
      <c r="CF5" t="e">
        <f>AND(#REF!,"AAAAAH/9/VM=")</f>
        <v>#REF!</v>
      </c>
      <c r="CG5" t="e">
        <f>AND(#REF!,"AAAAAH/9/VQ=")</f>
        <v>#REF!</v>
      </c>
      <c r="CH5" t="e">
        <f>AND(#REF!,"AAAAAH/9/VU=")</f>
        <v>#REF!</v>
      </c>
      <c r="CI5" t="e">
        <f>AND(#REF!,"AAAAAH/9/VY=")</f>
        <v>#REF!</v>
      </c>
      <c r="CJ5" t="e">
        <f>AND(#REF!,"AAAAAH/9/Vc=")</f>
        <v>#REF!</v>
      </c>
      <c r="CK5" t="e">
        <f>AND(#REF!,"AAAAAH/9/Vg=")</f>
        <v>#REF!</v>
      </c>
      <c r="CL5" t="e">
        <f>AND(#REF!,"AAAAAH/9/Vk=")</f>
        <v>#REF!</v>
      </c>
      <c r="CM5" t="e">
        <f>AND(#REF!,"AAAAAH/9/Vo=")</f>
        <v>#REF!</v>
      </c>
      <c r="CN5" t="e">
        <f>AND(#REF!,"AAAAAH/9/Vs=")</f>
        <v>#REF!</v>
      </c>
      <c r="CO5" t="e">
        <f>AND(#REF!,"AAAAAH/9/Vw=")</f>
        <v>#REF!</v>
      </c>
      <c r="CP5" t="e">
        <f>AND(#REF!,"AAAAAH/9/V0=")</f>
        <v>#REF!</v>
      </c>
      <c r="CQ5" t="e">
        <f>AND(#REF!,"AAAAAH/9/V4=")</f>
        <v>#REF!</v>
      </c>
      <c r="CR5" t="e">
        <f>AND(#REF!,"AAAAAH/9/V8=")</f>
        <v>#REF!</v>
      </c>
      <c r="CS5" t="e">
        <f>AND(#REF!,"AAAAAH/9/WA=")</f>
        <v>#REF!</v>
      </c>
      <c r="CT5" t="e">
        <f>AND(#REF!,"AAAAAH/9/WE=")</f>
        <v>#REF!</v>
      </c>
      <c r="CU5" t="e">
        <f>AND(#REF!,"AAAAAH/9/WI=")</f>
        <v>#REF!</v>
      </c>
      <c r="CV5" t="e">
        <f>IF(#REF!,"AAAAAH/9/WM=",0)</f>
        <v>#REF!</v>
      </c>
      <c r="CW5" t="e">
        <f>AND(#REF!,"AAAAAH/9/WQ=")</f>
        <v>#REF!</v>
      </c>
      <c r="CX5" t="e">
        <f>AND(#REF!,"AAAAAH/9/WU=")</f>
        <v>#REF!</v>
      </c>
      <c r="CY5" t="e">
        <f>AND(#REF!,"AAAAAH/9/WY=")</f>
        <v>#REF!</v>
      </c>
      <c r="CZ5" t="e">
        <f>AND(#REF!,"AAAAAH/9/Wc=")</f>
        <v>#REF!</v>
      </c>
      <c r="DA5" t="e">
        <f>AND(#REF!,"AAAAAH/9/Wg=")</f>
        <v>#REF!</v>
      </c>
      <c r="DB5" t="e">
        <f>AND(#REF!,"AAAAAH/9/Wk=")</f>
        <v>#REF!</v>
      </c>
      <c r="DC5" t="e">
        <f>AND(#REF!,"AAAAAH/9/Wo=")</f>
        <v>#REF!</v>
      </c>
      <c r="DD5" t="e">
        <f>AND(#REF!,"AAAAAH/9/Ws=")</f>
        <v>#REF!</v>
      </c>
      <c r="DE5" t="e">
        <f>AND(#REF!,"AAAAAH/9/Ww=")</f>
        <v>#REF!</v>
      </c>
      <c r="DF5" t="e">
        <f>AND(#REF!,"AAAAAH/9/W0=")</f>
        <v>#REF!</v>
      </c>
      <c r="DG5" t="e">
        <f>AND(#REF!,"AAAAAH/9/W4=")</f>
        <v>#REF!</v>
      </c>
      <c r="DH5" t="e">
        <f>AND(#REF!,"AAAAAH/9/W8=")</f>
        <v>#REF!</v>
      </c>
      <c r="DI5" t="e">
        <f>AND(#REF!,"AAAAAH/9/XA=")</f>
        <v>#REF!</v>
      </c>
      <c r="DJ5" t="e">
        <f>AND(#REF!,"AAAAAH/9/XE=")</f>
        <v>#REF!</v>
      </c>
      <c r="DK5" t="e">
        <f>AND(#REF!,"AAAAAH/9/XI=")</f>
        <v>#REF!</v>
      </c>
      <c r="DL5" t="e">
        <f>AND(#REF!,"AAAAAH/9/XM=")</f>
        <v>#REF!</v>
      </c>
      <c r="DM5" t="e">
        <f>AND(#REF!,"AAAAAH/9/XQ=")</f>
        <v>#REF!</v>
      </c>
      <c r="DN5" t="e">
        <f>AND(#REF!,"AAAAAH/9/XU=")</f>
        <v>#REF!</v>
      </c>
      <c r="DO5" t="e">
        <f>AND(#REF!,"AAAAAH/9/XY=")</f>
        <v>#REF!</v>
      </c>
      <c r="DP5" t="e">
        <f>AND(#REF!,"AAAAAH/9/Xc=")</f>
        <v>#REF!</v>
      </c>
      <c r="DQ5" t="e">
        <f>AND(#REF!,"AAAAAH/9/Xg=")</f>
        <v>#REF!</v>
      </c>
      <c r="DR5" t="e">
        <f>AND(#REF!,"AAAAAH/9/Xk=")</f>
        <v>#REF!</v>
      </c>
      <c r="DS5" t="e">
        <f>AND(#REF!,"AAAAAH/9/Xo=")</f>
        <v>#REF!</v>
      </c>
      <c r="DT5" t="e">
        <f>AND(#REF!,"AAAAAH/9/Xs=")</f>
        <v>#REF!</v>
      </c>
      <c r="DU5" t="e">
        <f>AND(#REF!,"AAAAAH/9/Xw=")</f>
        <v>#REF!</v>
      </c>
      <c r="DV5" t="e">
        <f>AND(#REF!,"AAAAAH/9/X0=")</f>
        <v>#REF!</v>
      </c>
      <c r="DW5" t="e">
        <f>AND(#REF!,"AAAAAH/9/X4=")</f>
        <v>#REF!</v>
      </c>
      <c r="DX5" t="e">
        <f>AND(#REF!,"AAAAAH/9/X8=")</f>
        <v>#REF!</v>
      </c>
      <c r="DY5" t="e">
        <f>AND(#REF!,"AAAAAH/9/YA=")</f>
        <v>#REF!</v>
      </c>
      <c r="DZ5" t="e">
        <f>AND(#REF!,"AAAAAH/9/YE=")</f>
        <v>#REF!</v>
      </c>
      <c r="EA5" t="e">
        <f>AND(#REF!,"AAAAAH/9/YI=")</f>
        <v>#REF!</v>
      </c>
      <c r="EB5" t="e">
        <f>AND(#REF!,"AAAAAH/9/YM=")</f>
        <v>#REF!</v>
      </c>
      <c r="EC5" t="e">
        <f>IF(#REF!,"AAAAAH/9/YQ=",0)</f>
        <v>#REF!</v>
      </c>
      <c r="ED5" t="e">
        <f>AND(#REF!,"AAAAAH/9/YU=")</f>
        <v>#REF!</v>
      </c>
      <c r="EE5" t="e">
        <f>AND(#REF!,"AAAAAH/9/YY=")</f>
        <v>#REF!</v>
      </c>
      <c r="EF5" t="e">
        <f>AND(#REF!,"AAAAAH/9/Yc=")</f>
        <v>#REF!</v>
      </c>
      <c r="EG5" t="e">
        <f>AND(#REF!,"AAAAAH/9/Yg=")</f>
        <v>#REF!</v>
      </c>
      <c r="EH5" t="e">
        <f>AND(#REF!,"AAAAAH/9/Yk=")</f>
        <v>#REF!</v>
      </c>
      <c r="EI5" t="e">
        <f>AND(#REF!,"AAAAAH/9/Yo=")</f>
        <v>#REF!</v>
      </c>
      <c r="EJ5" t="e">
        <f>AND(#REF!,"AAAAAH/9/Ys=")</f>
        <v>#REF!</v>
      </c>
      <c r="EK5" t="e">
        <f>AND(#REF!,"AAAAAH/9/Yw=")</f>
        <v>#REF!</v>
      </c>
      <c r="EL5" t="e">
        <f>AND(#REF!,"AAAAAH/9/Y0=")</f>
        <v>#REF!</v>
      </c>
      <c r="EM5" t="e">
        <f>AND(#REF!,"AAAAAH/9/Y4=")</f>
        <v>#REF!</v>
      </c>
      <c r="EN5" t="e">
        <f>AND(#REF!,"AAAAAH/9/Y8=")</f>
        <v>#REF!</v>
      </c>
      <c r="EO5" t="e">
        <f>AND(#REF!,"AAAAAH/9/ZA=")</f>
        <v>#REF!</v>
      </c>
      <c r="EP5" t="e">
        <f>AND(#REF!,"AAAAAH/9/ZE=")</f>
        <v>#REF!</v>
      </c>
      <c r="EQ5" t="e">
        <f>AND(#REF!,"AAAAAH/9/ZI=")</f>
        <v>#REF!</v>
      </c>
      <c r="ER5" t="e">
        <f>AND(#REF!,"AAAAAH/9/ZM=")</f>
        <v>#REF!</v>
      </c>
      <c r="ES5" t="e">
        <f>AND(#REF!,"AAAAAH/9/ZQ=")</f>
        <v>#REF!</v>
      </c>
      <c r="ET5" t="e">
        <f>AND(#REF!,"AAAAAH/9/ZU=")</f>
        <v>#REF!</v>
      </c>
      <c r="EU5" t="e">
        <f>AND(#REF!,"AAAAAH/9/ZY=")</f>
        <v>#REF!</v>
      </c>
      <c r="EV5" t="e">
        <f>AND(#REF!,"AAAAAH/9/Zc=")</f>
        <v>#REF!</v>
      </c>
      <c r="EW5" t="e">
        <f>AND(#REF!,"AAAAAH/9/Zg=")</f>
        <v>#REF!</v>
      </c>
      <c r="EX5" t="e">
        <f>AND(#REF!,"AAAAAH/9/Zk=")</f>
        <v>#REF!</v>
      </c>
      <c r="EY5" t="e">
        <f>AND(#REF!,"AAAAAH/9/Zo=")</f>
        <v>#REF!</v>
      </c>
      <c r="EZ5" t="e">
        <f>AND(#REF!,"AAAAAH/9/Zs=")</f>
        <v>#REF!</v>
      </c>
      <c r="FA5" t="e">
        <f>AND(#REF!,"AAAAAH/9/Zw=")</f>
        <v>#REF!</v>
      </c>
      <c r="FB5" t="e">
        <f>AND(#REF!,"AAAAAH/9/Z0=")</f>
        <v>#REF!</v>
      </c>
      <c r="FC5" t="e">
        <f>AND(#REF!,"AAAAAH/9/Z4=")</f>
        <v>#REF!</v>
      </c>
      <c r="FD5" t="e">
        <f>AND(#REF!,"AAAAAH/9/Z8=")</f>
        <v>#REF!</v>
      </c>
      <c r="FE5" t="e">
        <f>AND(#REF!,"AAAAAH/9/aA=")</f>
        <v>#REF!</v>
      </c>
      <c r="FF5" t="e">
        <f>AND(#REF!,"AAAAAH/9/aE=")</f>
        <v>#REF!</v>
      </c>
      <c r="FG5" t="e">
        <f>AND(#REF!,"AAAAAH/9/aI=")</f>
        <v>#REF!</v>
      </c>
      <c r="FH5" t="e">
        <f>AND(#REF!,"AAAAAH/9/aM=")</f>
        <v>#REF!</v>
      </c>
      <c r="FI5" t="e">
        <f>AND(#REF!,"AAAAAH/9/aQ=")</f>
        <v>#REF!</v>
      </c>
      <c r="FJ5" t="e">
        <f>IF(#REF!,"AAAAAH/9/aU=",0)</f>
        <v>#REF!</v>
      </c>
      <c r="FK5" t="e">
        <f>AND(#REF!,"AAAAAH/9/aY=")</f>
        <v>#REF!</v>
      </c>
      <c r="FL5" t="e">
        <f>AND(#REF!,"AAAAAH/9/ac=")</f>
        <v>#REF!</v>
      </c>
      <c r="FM5" t="e">
        <f>AND(#REF!,"AAAAAH/9/ag=")</f>
        <v>#REF!</v>
      </c>
      <c r="FN5" t="e">
        <f>AND(#REF!,"AAAAAH/9/ak=")</f>
        <v>#REF!</v>
      </c>
      <c r="FO5" t="e">
        <f>AND(#REF!,"AAAAAH/9/ao=")</f>
        <v>#REF!</v>
      </c>
      <c r="FP5" t="e">
        <f>AND(#REF!,"AAAAAH/9/as=")</f>
        <v>#REF!</v>
      </c>
      <c r="FQ5" t="e">
        <f>AND(#REF!,"AAAAAH/9/aw=")</f>
        <v>#REF!</v>
      </c>
      <c r="FR5" t="e">
        <f>AND(#REF!,"AAAAAH/9/a0=")</f>
        <v>#REF!</v>
      </c>
      <c r="FS5" t="e">
        <f>AND(#REF!,"AAAAAH/9/a4=")</f>
        <v>#REF!</v>
      </c>
      <c r="FT5" t="e">
        <f>AND(#REF!,"AAAAAH/9/a8=")</f>
        <v>#REF!</v>
      </c>
      <c r="FU5" t="e">
        <f>AND(#REF!,"AAAAAH/9/bA=")</f>
        <v>#REF!</v>
      </c>
      <c r="FV5" t="e">
        <f>AND(#REF!,"AAAAAH/9/bE=")</f>
        <v>#REF!</v>
      </c>
      <c r="FW5" t="e">
        <f>AND(#REF!,"AAAAAH/9/bI=")</f>
        <v>#REF!</v>
      </c>
      <c r="FX5" t="e">
        <f>AND(#REF!,"AAAAAH/9/bM=")</f>
        <v>#REF!</v>
      </c>
      <c r="FY5" t="e">
        <f>AND(#REF!,"AAAAAH/9/bQ=")</f>
        <v>#REF!</v>
      </c>
      <c r="FZ5" t="e">
        <f>AND(#REF!,"AAAAAH/9/bU=")</f>
        <v>#REF!</v>
      </c>
      <c r="GA5" t="e">
        <f>AND(#REF!,"AAAAAH/9/bY=")</f>
        <v>#REF!</v>
      </c>
      <c r="GB5" t="e">
        <f>AND(#REF!,"AAAAAH/9/bc=")</f>
        <v>#REF!</v>
      </c>
      <c r="GC5" t="e">
        <f>AND(#REF!,"AAAAAH/9/bg=")</f>
        <v>#REF!</v>
      </c>
      <c r="GD5" t="e">
        <f>AND(#REF!,"AAAAAH/9/bk=")</f>
        <v>#REF!</v>
      </c>
      <c r="GE5" t="e">
        <f>AND(#REF!,"AAAAAH/9/bo=")</f>
        <v>#REF!</v>
      </c>
      <c r="GF5" t="e">
        <f>AND(#REF!,"AAAAAH/9/bs=")</f>
        <v>#REF!</v>
      </c>
      <c r="GG5" t="e">
        <f>AND(#REF!,"AAAAAH/9/bw=")</f>
        <v>#REF!</v>
      </c>
      <c r="GH5" t="e">
        <f>AND(#REF!,"AAAAAH/9/b0=")</f>
        <v>#REF!</v>
      </c>
      <c r="GI5" t="e">
        <f>AND(#REF!,"AAAAAH/9/b4=")</f>
        <v>#REF!</v>
      </c>
      <c r="GJ5" t="e">
        <f>AND(#REF!,"AAAAAH/9/b8=")</f>
        <v>#REF!</v>
      </c>
      <c r="GK5" t="e">
        <f>AND(#REF!,"AAAAAH/9/cA=")</f>
        <v>#REF!</v>
      </c>
      <c r="GL5" t="e">
        <f>AND(#REF!,"AAAAAH/9/cE=")</f>
        <v>#REF!</v>
      </c>
      <c r="GM5" t="e">
        <f>AND(#REF!,"AAAAAH/9/cI=")</f>
        <v>#REF!</v>
      </c>
      <c r="GN5" t="e">
        <f>AND(#REF!,"AAAAAH/9/cM=")</f>
        <v>#REF!</v>
      </c>
      <c r="GO5" t="e">
        <f>AND(#REF!,"AAAAAH/9/cQ=")</f>
        <v>#REF!</v>
      </c>
      <c r="GP5" t="e">
        <f>AND(#REF!,"AAAAAH/9/cU=")</f>
        <v>#REF!</v>
      </c>
      <c r="GQ5" t="e">
        <f>IF(#REF!,"AAAAAH/9/cY=",0)</f>
        <v>#REF!</v>
      </c>
      <c r="GR5" t="e">
        <f>AND(#REF!,"AAAAAH/9/cc=")</f>
        <v>#REF!</v>
      </c>
      <c r="GS5" t="e">
        <f>AND(#REF!,"AAAAAH/9/cg=")</f>
        <v>#REF!</v>
      </c>
      <c r="GT5" t="e">
        <f>AND(#REF!,"AAAAAH/9/ck=")</f>
        <v>#REF!</v>
      </c>
      <c r="GU5" t="e">
        <f>AND(#REF!,"AAAAAH/9/co=")</f>
        <v>#REF!</v>
      </c>
      <c r="GV5" t="e">
        <f>AND(#REF!,"AAAAAH/9/cs=")</f>
        <v>#REF!</v>
      </c>
      <c r="GW5" t="e">
        <f>AND(#REF!,"AAAAAH/9/cw=")</f>
        <v>#REF!</v>
      </c>
      <c r="GX5" t="e">
        <f>AND(#REF!,"AAAAAH/9/c0=")</f>
        <v>#REF!</v>
      </c>
      <c r="GY5" t="e">
        <f>AND(#REF!,"AAAAAH/9/c4=")</f>
        <v>#REF!</v>
      </c>
      <c r="GZ5" t="e">
        <f>AND(#REF!,"AAAAAH/9/c8=")</f>
        <v>#REF!</v>
      </c>
      <c r="HA5" t="e">
        <f>AND(#REF!,"AAAAAH/9/dA=")</f>
        <v>#REF!</v>
      </c>
      <c r="HB5" t="e">
        <f>AND(#REF!,"AAAAAH/9/dE=")</f>
        <v>#REF!</v>
      </c>
      <c r="HC5" t="e">
        <f>AND(#REF!,"AAAAAH/9/dI=")</f>
        <v>#REF!</v>
      </c>
      <c r="HD5" t="e">
        <f>AND(#REF!,"AAAAAH/9/dM=")</f>
        <v>#REF!</v>
      </c>
      <c r="HE5" t="e">
        <f>AND(#REF!,"AAAAAH/9/dQ=")</f>
        <v>#REF!</v>
      </c>
      <c r="HF5" t="e">
        <f>AND(#REF!,"AAAAAH/9/dU=")</f>
        <v>#REF!</v>
      </c>
      <c r="HG5" t="e">
        <f>AND(#REF!,"AAAAAH/9/dY=")</f>
        <v>#REF!</v>
      </c>
      <c r="HH5" t="e">
        <f>AND(#REF!,"AAAAAH/9/dc=")</f>
        <v>#REF!</v>
      </c>
      <c r="HI5" t="e">
        <f>AND(#REF!,"AAAAAH/9/dg=")</f>
        <v>#REF!</v>
      </c>
      <c r="HJ5" t="e">
        <f>AND(#REF!,"AAAAAH/9/dk=")</f>
        <v>#REF!</v>
      </c>
      <c r="HK5" t="e">
        <f>AND(#REF!,"AAAAAH/9/do=")</f>
        <v>#REF!</v>
      </c>
      <c r="HL5" t="e">
        <f>AND(#REF!,"AAAAAH/9/ds=")</f>
        <v>#REF!</v>
      </c>
      <c r="HM5" t="e">
        <f>AND(#REF!,"AAAAAH/9/dw=")</f>
        <v>#REF!</v>
      </c>
      <c r="HN5" t="e">
        <f>AND(#REF!,"AAAAAH/9/d0=")</f>
        <v>#REF!</v>
      </c>
      <c r="HO5" t="e">
        <f>AND(#REF!,"AAAAAH/9/d4=")</f>
        <v>#REF!</v>
      </c>
      <c r="HP5" t="e">
        <f>AND(#REF!,"AAAAAH/9/d8=")</f>
        <v>#REF!</v>
      </c>
      <c r="HQ5" t="e">
        <f>AND(#REF!,"AAAAAH/9/eA=")</f>
        <v>#REF!</v>
      </c>
      <c r="HR5" t="e">
        <f>AND(#REF!,"AAAAAH/9/eE=")</f>
        <v>#REF!</v>
      </c>
      <c r="HS5" t="e">
        <f>AND(#REF!,"AAAAAH/9/eI=")</f>
        <v>#REF!</v>
      </c>
      <c r="HT5" t="e">
        <f>AND(#REF!,"AAAAAH/9/eM=")</f>
        <v>#REF!</v>
      </c>
      <c r="HU5" t="e">
        <f>AND(#REF!,"AAAAAH/9/eQ=")</f>
        <v>#REF!</v>
      </c>
      <c r="HV5" t="e">
        <f>AND(#REF!,"AAAAAH/9/eU=")</f>
        <v>#REF!</v>
      </c>
      <c r="HW5" t="e">
        <f>AND(#REF!,"AAAAAH/9/eY=")</f>
        <v>#REF!</v>
      </c>
      <c r="HX5" t="e">
        <f>IF(#REF!,"AAAAAH/9/ec=",0)</f>
        <v>#REF!</v>
      </c>
      <c r="HY5" t="e">
        <f>AND(#REF!,"AAAAAH/9/eg=")</f>
        <v>#REF!</v>
      </c>
      <c r="HZ5" t="e">
        <f>AND(#REF!,"AAAAAH/9/ek=")</f>
        <v>#REF!</v>
      </c>
      <c r="IA5" t="e">
        <f>AND(#REF!,"AAAAAH/9/eo=")</f>
        <v>#REF!</v>
      </c>
      <c r="IB5" t="e">
        <f>AND(#REF!,"AAAAAH/9/es=")</f>
        <v>#REF!</v>
      </c>
      <c r="IC5" t="e">
        <f>AND(#REF!,"AAAAAH/9/ew=")</f>
        <v>#REF!</v>
      </c>
      <c r="ID5" t="e">
        <f>AND(#REF!,"AAAAAH/9/e0=")</f>
        <v>#REF!</v>
      </c>
      <c r="IE5" t="e">
        <f>AND(#REF!,"AAAAAH/9/e4=")</f>
        <v>#REF!</v>
      </c>
      <c r="IF5" t="e">
        <f>AND(#REF!,"AAAAAH/9/e8=")</f>
        <v>#REF!</v>
      </c>
      <c r="IG5" t="e">
        <f>AND(#REF!,"AAAAAH/9/fA=")</f>
        <v>#REF!</v>
      </c>
      <c r="IH5" t="e">
        <f>AND(#REF!,"AAAAAH/9/fE=")</f>
        <v>#REF!</v>
      </c>
      <c r="II5" t="e">
        <f>AND(#REF!,"AAAAAH/9/fI=")</f>
        <v>#REF!</v>
      </c>
      <c r="IJ5" t="e">
        <f>AND(#REF!,"AAAAAH/9/fM=")</f>
        <v>#REF!</v>
      </c>
      <c r="IK5" t="e">
        <f>AND(#REF!,"AAAAAH/9/fQ=")</f>
        <v>#REF!</v>
      </c>
      <c r="IL5" t="e">
        <f>AND(#REF!,"AAAAAH/9/fU=")</f>
        <v>#REF!</v>
      </c>
      <c r="IM5" t="e">
        <f>AND(#REF!,"AAAAAH/9/fY=")</f>
        <v>#REF!</v>
      </c>
      <c r="IN5" t="e">
        <f>AND(#REF!,"AAAAAH/9/fc=")</f>
        <v>#REF!</v>
      </c>
      <c r="IO5" t="e">
        <f>AND(#REF!,"AAAAAH/9/fg=")</f>
        <v>#REF!</v>
      </c>
      <c r="IP5" t="e">
        <f>AND(#REF!,"AAAAAH/9/fk=")</f>
        <v>#REF!</v>
      </c>
      <c r="IQ5" t="e">
        <f>AND(#REF!,"AAAAAH/9/fo=")</f>
        <v>#REF!</v>
      </c>
      <c r="IR5" t="e">
        <f>AND(#REF!,"AAAAAH/9/fs=")</f>
        <v>#REF!</v>
      </c>
      <c r="IS5" t="e">
        <f>AND(#REF!,"AAAAAH/9/fw=")</f>
        <v>#REF!</v>
      </c>
      <c r="IT5" t="e">
        <f>AND(#REF!,"AAAAAH/9/f0=")</f>
        <v>#REF!</v>
      </c>
      <c r="IU5" t="e">
        <f>AND(#REF!,"AAAAAH/9/f4=")</f>
        <v>#REF!</v>
      </c>
      <c r="IV5" t="e">
        <f>AND(#REF!,"AAAAAH/9/f8=")</f>
        <v>#REF!</v>
      </c>
    </row>
    <row r="6" spans="1:256" x14ac:dyDescent="0.35">
      <c r="A6" t="e">
        <f>AND(#REF!,"AAAAAHy7bwA=")</f>
        <v>#REF!</v>
      </c>
      <c r="B6" t="e">
        <f>AND(#REF!,"AAAAAHy7bwE=")</f>
        <v>#REF!</v>
      </c>
      <c r="C6" t="e">
        <f>AND(#REF!,"AAAAAHy7bwI=")</f>
        <v>#REF!</v>
      </c>
      <c r="D6" t="e">
        <f>AND(#REF!,"AAAAAHy7bwM=")</f>
        <v>#REF!</v>
      </c>
      <c r="E6" t="e">
        <f>AND(#REF!,"AAAAAHy7bwQ=")</f>
        <v>#REF!</v>
      </c>
      <c r="F6" t="e">
        <f>AND(#REF!,"AAAAAHy7bwU=")</f>
        <v>#REF!</v>
      </c>
      <c r="G6" t="e">
        <f>AND(#REF!,"AAAAAHy7bwY=")</f>
        <v>#REF!</v>
      </c>
      <c r="H6" t="e">
        <f>AND(#REF!,"AAAAAHy7bwc=")</f>
        <v>#REF!</v>
      </c>
      <c r="I6" t="e">
        <f>IF(#REF!,"AAAAAHy7bwg=",0)</f>
        <v>#REF!</v>
      </c>
      <c r="J6" t="e">
        <f>AND(#REF!,"AAAAAHy7bwk=")</f>
        <v>#REF!</v>
      </c>
      <c r="K6" t="e">
        <f>AND(#REF!,"AAAAAHy7bwo=")</f>
        <v>#REF!</v>
      </c>
      <c r="L6" t="e">
        <f>AND(#REF!,"AAAAAHy7bws=")</f>
        <v>#REF!</v>
      </c>
      <c r="M6" t="e">
        <f>AND(#REF!,"AAAAAHy7bww=")</f>
        <v>#REF!</v>
      </c>
      <c r="N6" t="e">
        <f>AND(#REF!,"AAAAAHy7bw0=")</f>
        <v>#REF!</v>
      </c>
      <c r="O6" t="e">
        <f>AND(#REF!,"AAAAAHy7bw4=")</f>
        <v>#REF!</v>
      </c>
      <c r="P6" t="e">
        <f>AND(#REF!,"AAAAAHy7bw8=")</f>
        <v>#REF!</v>
      </c>
      <c r="Q6" t="e">
        <f>AND(#REF!,"AAAAAHy7bxA=")</f>
        <v>#REF!</v>
      </c>
      <c r="R6" t="e">
        <f>AND(#REF!,"AAAAAHy7bxE=")</f>
        <v>#REF!</v>
      </c>
      <c r="S6" t="e">
        <f>AND(#REF!,"AAAAAHy7bxI=")</f>
        <v>#REF!</v>
      </c>
      <c r="T6" t="e">
        <f>AND(#REF!,"AAAAAHy7bxM=")</f>
        <v>#REF!</v>
      </c>
      <c r="U6" t="e">
        <f>AND(#REF!,"AAAAAHy7bxQ=")</f>
        <v>#REF!</v>
      </c>
      <c r="V6" t="e">
        <f>AND(#REF!,"AAAAAHy7bxU=")</f>
        <v>#REF!</v>
      </c>
      <c r="W6" t="e">
        <f>AND(#REF!,"AAAAAHy7bxY=")</f>
        <v>#REF!</v>
      </c>
      <c r="X6" t="e">
        <f>AND(#REF!,"AAAAAHy7bxc=")</f>
        <v>#REF!</v>
      </c>
      <c r="Y6" t="e">
        <f>AND(#REF!,"AAAAAHy7bxg=")</f>
        <v>#REF!</v>
      </c>
      <c r="Z6" t="e">
        <f>AND(#REF!,"AAAAAHy7bxk=")</f>
        <v>#REF!</v>
      </c>
      <c r="AA6" t="e">
        <f>AND(#REF!,"AAAAAHy7bxo=")</f>
        <v>#REF!</v>
      </c>
      <c r="AB6" t="e">
        <f>AND(#REF!,"AAAAAHy7bxs=")</f>
        <v>#REF!</v>
      </c>
      <c r="AC6" t="e">
        <f>AND(#REF!,"AAAAAHy7bxw=")</f>
        <v>#REF!</v>
      </c>
      <c r="AD6" t="e">
        <f>AND(#REF!,"AAAAAHy7bx0=")</f>
        <v>#REF!</v>
      </c>
      <c r="AE6" t="e">
        <f>AND(#REF!,"AAAAAHy7bx4=")</f>
        <v>#REF!</v>
      </c>
      <c r="AF6" t="e">
        <f>AND(#REF!,"AAAAAHy7bx8=")</f>
        <v>#REF!</v>
      </c>
      <c r="AG6" t="e">
        <f>AND(#REF!,"AAAAAHy7byA=")</f>
        <v>#REF!</v>
      </c>
      <c r="AH6" t="e">
        <f>AND(#REF!,"AAAAAHy7byE=")</f>
        <v>#REF!</v>
      </c>
      <c r="AI6" t="e">
        <f>AND(#REF!,"AAAAAHy7byI=")</f>
        <v>#REF!</v>
      </c>
      <c r="AJ6" t="e">
        <f>AND(#REF!,"AAAAAHy7byM=")</f>
        <v>#REF!</v>
      </c>
      <c r="AK6" t="e">
        <f>AND(#REF!,"AAAAAHy7byQ=")</f>
        <v>#REF!</v>
      </c>
      <c r="AL6" t="e">
        <f>AND(#REF!,"AAAAAHy7byU=")</f>
        <v>#REF!</v>
      </c>
      <c r="AM6" t="e">
        <f>AND(#REF!,"AAAAAHy7byY=")</f>
        <v>#REF!</v>
      </c>
      <c r="AN6" t="e">
        <f>AND(#REF!,"AAAAAHy7byc=")</f>
        <v>#REF!</v>
      </c>
      <c r="AO6" t="e">
        <f>AND(#REF!,"AAAAAHy7byg=")</f>
        <v>#REF!</v>
      </c>
      <c r="AP6" t="e">
        <f>IF(#REF!,"AAAAAHy7byk=",0)</f>
        <v>#REF!</v>
      </c>
      <c r="AQ6" t="e">
        <f>AND(#REF!,"AAAAAHy7byo=")</f>
        <v>#REF!</v>
      </c>
      <c r="AR6" t="e">
        <f>AND(#REF!,"AAAAAHy7bys=")</f>
        <v>#REF!</v>
      </c>
      <c r="AS6" t="e">
        <f>AND(#REF!,"AAAAAHy7byw=")</f>
        <v>#REF!</v>
      </c>
      <c r="AT6" t="e">
        <f>AND(#REF!,"AAAAAHy7by0=")</f>
        <v>#REF!</v>
      </c>
      <c r="AU6" t="e">
        <f>AND(#REF!,"AAAAAHy7by4=")</f>
        <v>#REF!</v>
      </c>
      <c r="AV6" t="e">
        <f>AND(#REF!,"AAAAAHy7by8=")</f>
        <v>#REF!</v>
      </c>
      <c r="AW6" t="e">
        <f>AND(#REF!,"AAAAAHy7bzA=")</f>
        <v>#REF!</v>
      </c>
      <c r="AX6" t="e">
        <f>AND(#REF!,"AAAAAHy7bzE=")</f>
        <v>#REF!</v>
      </c>
      <c r="AY6" t="e">
        <f>AND(#REF!,"AAAAAHy7bzI=")</f>
        <v>#REF!</v>
      </c>
      <c r="AZ6" t="e">
        <f>AND(#REF!,"AAAAAHy7bzM=")</f>
        <v>#REF!</v>
      </c>
      <c r="BA6" t="e">
        <f>AND(#REF!,"AAAAAHy7bzQ=")</f>
        <v>#REF!</v>
      </c>
      <c r="BB6" t="e">
        <f>AND(#REF!,"AAAAAHy7bzU=")</f>
        <v>#REF!</v>
      </c>
      <c r="BC6" t="e">
        <f>AND(#REF!,"AAAAAHy7bzY=")</f>
        <v>#REF!</v>
      </c>
      <c r="BD6" t="e">
        <f>AND(#REF!,"AAAAAHy7bzc=")</f>
        <v>#REF!</v>
      </c>
      <c r="BE6" t="e">
        <f>AND(#REF!,"AAAAAHy7bzg=")</f>
        <v>#REF!</v>
      </c>
      <c r="BF6" t="e">
        <f>AND(#REF!,"AAAAAHy7bzk=")</f>
        <v>#REF!</v>
      </c>
      <c r="BG6" t="e">
        <f>AND(#REF!,"AAAAAHy7bzo=")</f>
        <v>#REF!</v>
      </c>
      <c r="BH6" t="e">
        <f>AND(#REF!,"AAAAAHy7bzs=")</f>
        <v>#REF!</v>
      </c>
      <c r="BI6" t="e">
        <f>AND(#REF!,"AAAAAHy7bzw=")</f>
        <v>#REF!</v>
      </c>
      <c r="BJ6" t="e">
        <f>AND(#REF!,"AAAAAHy7bz0=")</f>
        <v>#REF!</v>
      </c>
      <c r="BK6" t="e">
        <f>AND(#REF!,"AAAAAHy7bz4=")</f>
        <v>#REF!</v>
      </c>
      <c r="BL6" t="e">
        <f>AND(#REF!,"AAAAAHy7bz8=")</f>
        <v>#REF!</v>
      </c>
      <c r="BM6" t="e">
        <f>AND(#REF!,"AAAAAHy7b0A=")</f>
        <v>#REF!</v>
      </c>
      <c r="BN6" t="e">
        <f>AND(#REF!,"AAAAAHy7b0E=")</f>
        <v>#REF!</v>
      </c>
      <c r="BO6" t="e">
        <f>AND(#REF!,"AAAAAHy7b0I=")</f>
        <v>#REF!</v>
      </c>
      <c r="BP6" t="e">
        <f>AND(#REF!,"AAAAAHy7b0M=")</f>
        <v>#REF!</v>
      </c>
      <c r="BQ6" t="e">
        <f>AND(#REF!,"AAAAAHy7b0Q=")</f>
        <v>#REF!</v>
      </c>
      <c r="BR6" t="e">
        <f>AND(#REF!,"AAAAAHy7b0U=")</f>
        <v>#REF!</v>
      </c>
      <c r="BS6" t="e">
        <f>AND(#REF!,"AAAAAHy7b0Y=")</f>
        <v>#REF!</v>
      </c>
      <c r="BT6" t="e">
        <f>AND(#REF!,"AAAAAHy7b0c=")</f>
        <v>#REF!</v>
      </c>
      <c r="BU6" t="e">
        <f>AND(#REF!,"AAAAAHy7b0g=")</f>
        <v>#REF!</v>
      </c>
      <c r="BV6" t="e">
        <f>AND(#REF!,"AAAAAHy7b0k=")</f>
        <v>#REF!</v>
      </c>
      <c r="BW6" t="e">
        <f>IF(#REF!,"AAAAAHy7b0o=",0)</f>
        <v>#REF!</v>
      </c>
      <c r="BX6" t="e">
        <f>AND(#REF!,"AAAAAHy7b0s=")</f>
        <v>#REF!</v>
      </c>
      <c r="BY6" t="e">
        <f>AND(#REF!,"AAAAAHy7b0w=")</f>
        <v>#REF!</v>
      </c>
      <c r="BZ6" t="e">
        <f>AND(#REF!,"AAAAAHy7b00=")</f>
        <v>#REF!</v>
      </c>
      <c r="CA6" t="e">
        <f>AND(#REF!,"AAAAAHy7b04=")</f>
        <v>#REF!</v>
      </c>
      <c r="CB6" t="e">
        <f>AND(#REF!,"AAAAAHy7b08=")</f>
        <v>#REF!</v>
      </c>
      <c r="CC6" t="e">
        <f>AND(#REF!,"AAAAAHy7b1A=")</f>
        <v>#REF!</v>
      </c>
      <c r="CD6" t="e">
        <f>AND(#REF!,"AAAAAHy7b1E=")</f>
        <v>#REF!</v>
      </c>
      <c r="CE6" t="e">
        <f>AND(#REF!,"AAAAAHy7b1I=")</f>
        <v>#REF!</v>
      </c>
      <c r="CF6" t="e">
        <f>AND(#REF!,"AAAAAHy7b1M=")</f>
        <v>#REF!</v>
      </c>
      <c r="CG6" t="e">
        <f>AND(#REF!,"AAAAAHy7b1Q=")</f>
        <v>#REF!</v>
      </c>
      <c r="CH6" t="e">
        <f>AND(#REF!,"AAAAAHy7b1U=")</f>
        <v>#REF!</v>
      </c>
      <c r="CI6" t="e">
        <f>AND(#REF!,"AAAAAHy7b1Y=")</f>
        <v>#REF!</v>
      </c>
      <c r="CJ6" t="e">
        <f>AND(#REF!,"AAAAAHy7b1c=")</f>
        <v>#REF!</v>
      </c>
      <c r="CK6" t="e">
        <f>AND(#REF!,"AAAAAHy7b1g=")</f>
        <v>#REF!</v>
      </c>
      <c r="CL6" t="e">
        <f>AND(#REF!,"AAAAAHy7b1k=")</f>
        <v>#REF!</v>
      </c>
      <c r="CM6" t="e">
        <f>AND(#REF!,"AAAAAHy7b1o=")</f>
        <v>#REF!</v>
      </c>
      <c r="CN6" t="e">
        <f>AND(#REF!,"AAAAAHy7b1s=")</f>
        <v>#REF!</v>
      </c>
      <c r="CO6" t="e">
        <f>AND(#REF!,"AAAAAHy7b1w=")</f>
        <v>#REF!</v>
      </c>
      <c r="CP6" t="e">
        <f>AND(#REF!,"AAAAAHy7b10=")</f>
        <v>#REF!</v>
      </c>
      <c r="CQ6" t="e">
        <f>AND(#REF!,"AAAAAHy7b14=")</f>
        <v>#REF!</v>
      </c>
      <c r="CR6" t="e">
        <f>AND(#REF!,"AAAAAHy7b18=")</f>
        <v>#REF!</v>
      </c>
      <c r="CS6" t="e">
        <f>AND(#REF!,"AAAAAHy7b2A=")</f>
        <v>#REF!</v>
      </c>
      <c r="CT6" t="e">
        <f>AND(#REF!,"AAAAAHy7b2E=")</f>
        <v>#REF!</v>
      </c>
      <c r="CU6" t="e">
        <f>AND(#REF!,"AAAAAHy7b2I=")</f>
        <v>#REF!</v>
      </c>
      <c r="CV6" t="e">
        <f>AND(#REF!,"AAAAAHy7b2M=")</f>
        <v>#REF!</v>
      </c>
      <c r="CW6" t="e">
        <f>AND(#REF!,"AAAAAHy7b2Q=")</f>
        <v>#REF!</v>
      </c>
      <c r="CX6" t="e">
        <f>AND(#REF!,"AAAAAHy7b2U=")</f>
        <v>#REF!</v>
      </c>
      <c r="CY6" t="e">
        <f>AND(#REF!,"AAAAAHy7b2Y=")</f>
        <v>#REF!</v>
      </c>
      <c r="CZ6" t="e">
        <f>AND(#REF!,"AAAAAHy7b2c=")</f>
        <v>#REF!</v>
      </c>
      <c r="DA6" t="e">
        <f>AND(#REF!,"AAAAAHy7b2g=")</f>
        <v>#REF!</v>
      </c>
      <c r="DB6" t="e">
        <f>AND(#REF!,"AAAAAHy7b2k=")</f>
        <v>#REF!</v>
      </c>
      <c r="DC6" t="e">
        <f>AND(#REF!,"AAAAAHy7b2o=")</f>
        <v>#REF!</v>
      </c>
      <c r="DD6" t="e">
        <f>IF(#REF!,"AAAAAHy7b2s=",0)</f>
        <v>#REF!</v>
      </c>
      <c r="DE6" t="e">
        <f>AND(#REF!,"AAAAAHy7b2w=")</f>
        <v>#REF!</v>
      </c>
      <c r="DF6" t="e">
        <f>AND(#REF!,"AAAAAHy7b20=")</f>
        <v>#REF!</v>
      </c>
      <c r="DG6" t="e">
        <f>AND(#REF!,"AAAAAHy7b24=")</f>
        <v>#REF!</v>
      </c>
      <c r="DH6" t="e">
        <f>AND(#REF!,"AAAAAHy7b28=")</f>
        <v>#REF!</v>
      </c>
      <c r="DI6" t="e">
        <f>AND(#REF!,"AAAAAHy7b3A=")</f>
        <v>#REF!</v>
      </c>
      <c r="DJ6" t="e">
        <f>AND(#REF!,"AAAAAHy7b3E=")</f>
        <v>#REF!</v>
      </c>
      <c r="DK6" t="e">
        <f>AND(#REF!,"AAAAAHy7b3I=")</f>
        <v>#REF!</v>
      </c>
      <c r="DL6" t="e">
        <f>AND(#REF!,"AAAAAHy7b3M=")</f>
        <v>#REF!</v>
      </c>
      <c r="DM6" t="e">
        <f>AND(#REF!,"AAAAAHy7b3Q=")</f>
        <v>#REF!</v>
      </c>
      <c r="DN6" t="e">
        <f>AND(#REF!,"AAAAAHy7b3U=")</f>
        <v>#REF!</v>
      </c>
      <c r="DO6" t="e">
        <f>AND(#REF!,"AAAAAHy7b3Y=")</f>
        <v>#REF!</v>
      </c>
      <c r="DP6" t="e">
        <f>AND(#REF!,"AAAAAHy7b3c=")</f>
        <v>#REF!</v>
      </c>
      <c r="DQ6" t="e">
        <f>AND(#REF!,"AAAAAHy7b3g=")</f>
        <v>#REF!</v>
      </c>
      <c r="DR6" t="e">
        <f>AND(#REF!,"AAAAAHy7b3k=")</f>
        <v>#REF!</v>
      </c>
      <c r="DS6" t="e">
        <f>AND(#REF!,"AAAAAHy7b3o=")</f>
        <v>#REF!</v>
      </c>
      <c r="DT6" t="e">
        <f>AND(#REF!,"AAAAAHy7b3s=")</f>
        <v>#REF!</v>
      </c>
      <c r="DU6" t="e">
        <f>AND(#REF!,"AAAAAHy7b3w=")</f>
        <v>#REF!</v>
      </c>
      <c r="DV6" t="e">
        <f>AND(#REF!,"AAAAAHy7b30=")</f>
        <v>#REF!</v>
      </c>
      <c r="DW6" t="e">
        <f>AND(#REF!,"AAAAAHy7b34=")</f>
        <v>#REF!</v>
      </c>
      <c r="DX6" t="e">
        <f>AND(#REF!,"AAAAAHy7b38=")</f>
        <v>#REF!</v>
      </c>
      <c r="DY6" t="e">
        <f>AND(#REF!,"AAAAAHy7b4A=")</f>
        <v>#REF!</v>
      </c>
      <c r="DZ6" t="e">
        <f>AND(#REF!,"AAAAAHy7b4E=")</f>
        <v>#REF!</v>
      </c>
      <c r="EA6" t="e">
        <f>AND(#REF!,"AAAAAHy7b4I=")</f>
        <v>#REF!</v>
      </c>
      <c r="EB6" t="e">
        <f>AND(#REF!,"AAAAAHy7b4M=")</f>
        <v>#REF!</v>
      </c>
      <c r="EC6" t="e">
        <f>AND(#REF!,"AAAAAHy7b4Q=")</f>
        <v>#REF!</v>
      </c>
      <c r="ED6" t="e">
        <f>AND(#REF!,"AAAAAHy7b4U=")</f>
        <v>#REF!</v>
      </c>
      <c r="EE6" t="e">
        <f>AND(#REF!,"AAAAAHy7b4Y=")</f>
        <v>#REF!</v>
      </c>
      <c r="EF6" t="e">
        <f>AND(#REF!,"AAAAAHy7b4c=")</f>
        <v>#REF!</v>
      </c>
      <c r="EG6" t="e">
        <f>AND(#REF!,"AAAAAHy7b4g=")</f>
        <v>#REF!</v>
      </c>
      <c r="EH6" t="e">
        <f>AND(#REF!,"AAAAAHy7b4k=")</f>
        <v>#REF!</v>
      </c>
      <c r="EI6" t="e">
        <f>AND(#REF!,"AAAAAHy7b4o=")</f>
        <v>#REF!</v>
      </c>
      <c r="EJ6" t="e">
        <f>AND(#REF!,"AAAAAHy7b4s=")</f>
        <v>#REF!</v>
      </c>
      <c r="EK6" t="e">
        <f>IF(#REF!,"AAAAAHy7b4w=",0)</f>
        <v>#REF!</v>
      </c>
      <c r="EL6" t="e">
        <f>AND(#REF!,"AAAAAHy7b40=")</f>
        <v>#REF!</v>
      </c>
      <c r="EM6" t="e">
        <f>AND(#REF!,"AAAAAHy7b44=")</f>
        <v>#REF!</v>
      </c>
      <c r="EN6" t="e">
        <f>AND(#REF!,"AAAAAHy7b48=")</f>
        <v>#REF!</v>
      </c>
      <c r="EO6" t="e">
        <f>AND(#REF!,"AAAAAHy7b5A=")</f>
        <v>#REF!</v>
      </c>
      <c r="EP6" t="e">
        <f>AND(#REF!,"AAAAAHy7b5E=")</f>
        <v>#REF!</v>
      </c>
      <c r="EQ6" t="e">
        <f>AND(#REF!,"AAAAAHy7b5I=")</f>
        <v>#REF!</v>
      </c>
      <c r="ER6" t="e">
        <f>AND(#REF!,"AAAAAHy7b5M=")</f>
        <v>#REF!</v>
      </c>
      <c r="ES6" t="e">
        <f>AND(#REF!,"AAAAAHy7b5Q=")</f>
        <v>#REF!</v>
      </c>
      <c r="ET6" t="e">
        <f>AND(#REF!,"AAAAAHy7b5U=")</f>
        <v>#REF!</v>
      </c>
      <c r="EU6" t="e">
        <f>AND(#REF!,"AAAAAHy7b5Y=")</f>
        <v>#REF!</v>
      </c>
      <c r="EV6" t="e">
        <f>AND(#REF!,"AAAAAHy7b5c=")</f>
        <v>#REF!</v>
      </c>
      <c r="EW6" t="e">
        <f>AND(#REF!,"AAAAAHy7b5g=")</f>
        <v>#REF!</v>
      </c>
      <c r="EX6" t="e">
        <f>AND(#REF!,"AAAAAHy7b5k=")</f>
        <v>#REF!</v>
      </c>
      <c r="EY6" t="e">
        <f>AND(#REF!,"AAAAAHy7b5o=")</f>
        <v>#REF!</v>
      </c>
      <c r="EZ6" t="e">
        <f>AND(#REF!,"AAAAAHy7b5s=")</f>
        <v>#REF!</v>
      </c>
      <c r="FA6" t="e">
        <f>AND(#REF!,"AAAAAHy7b5w=")</f>
        <v>#REF!</v>
      </c>
      <c r="FB6" t="e">
        <f>AND(#REF!,"AAAAAHy7b50=")</f>
        <v>#REF!</v>
      </c>
      <c r="FC6" t="e">
        <f>AND(#REF!,"AAAAAHy7b54=")</f>
        <v>#REF!</v>
      </c>
      <c r="FD6" t="e">
        <f>AND(#REF!,"AAAAAHy7b58=")</f>
        <v>#REF!</v>
      </c>
      <c r="FE6" t="e">
        <f>AND(#REF!,"AAAAAHy7b6A=")</f>
        <v>#REF!</v>
      </c>
      <c r="FF6" t="e">
        <f>AND(#REF!,"AAAAAHy7b6E=")</f>
        <v>#REF!</v>
      </c>
      <c r="FG6" t="e">
        <f>AND(#REF!,"AAAAAHy7b6I=")</f>
        <v>#REF!</v>
      </c>
      <c r="FH6" t="e">
        <f>AND(#REF!,"AAAAAHy7b6M=")</f>
        <v>#REF!</v>
      </c>
      <c r="FI6" t="e">
        <f>AND(#REF!,"AAAAAHy7b6Q=")</f>
        <v>#REF!</v>
      </c>
      <c r="FJ6" t="e">
        <f>AND(#REF!,"AAAAAHy7b6U=")</f>
        <v>#REF!</v>
      </c>
      <c r="FK6" t="e">
        <f>AND(#REF!,"AAAAAHy7b6Y=")</f>
        <v>#REF!</v>
      </c>
      <c r="FL6" t="e">
        <f>AND(#REF!,"AAAAAHy7b6c=")</f>
        <v>#REF!</v>
      </c>
      <c r="FM6" t="e">
        <f>AND(#REF!,"AAAAAHy7b6g=")</f>
        <v>#REF!</v>
      </c>
      <c r="FN6" t="e">
        <f>AND(#REF!,"AAAAAHy7b6k=")</f>
        <v>#REF!</v>
      </c>
      <c r="FO6" t="e">
        <f>AND(#REF!,"AAAAAHy7b6o=")</f>
        <v>#REF!</v>
      </c>
      <c r="FP6" t="e">
        <f>AND(#REF!,"AAAAAHy7b6s=")</f>
        <v>#REF!</v>
      </c>
      <c r="FQ6" t="e">
        <f>AND(#REF!,"AAAAAHy7b6w=")</f>
        <v>#REF!</v>
      </c>
      <c r="FR6" t="e">
        <f>IF(#REF!,"AAAAAHy7b60=",0)</f>
        <v>#REF!</v>
      </c>
      <c r="FS6" t="e">
        <f>AND(#REF!,"AAAAAHy7b64=")</f>
        <v>#REF!</v>
      </c>
      <c r="FT6" t="e">
        <f>AND(#REF!,"AAAAAHy7b68=")</f>
        <v>#REF!</v>
      </c>
      <c r="FU6" t="e">
        <f>AND(#REF!,"AAAAAHy7b7A=")</f>
        <v>#REF!</v>
      </c>
      <c r="FV6" t="e">
        <f>AND(#REF!,"AAAAAHy7b7E=")</f>
        <v>#REF!</v>
      </c>
      <c r="FW6" t="e">
        <f>AND(#REF!,"AAAAAHy7b7I=")</f>
        <v>#REF!</v>
      </c>
      <c r="FX6" t="e">
        <f>AND(#REF!,"AAAAAHy7b7M=")</f>
        <v>#REF!</v>
      </c>
      <c r="FY6" t="e">
        <f>AND(#REF!,"AAAAAHy7b7Q=")</f>
        <v>#REF!</v>
      </c>
      <c r="FZ6" t="e">
        <f>AND(#REF!,"AAAAAHy7b7U=")</f>
        <v>#REF!</v>
      </c>
      <c r="GA6" t="e">
        <f>AND(#REF!,"AAAAAHy7b7Y=")</f>
        <v>#REF!</v>
      </c>
      <c r="GB6" t="e">
        <f>AND(#REF!,"AAAAAHy7b7c=")</f>
        <v>#REF!</v>
      </c>
      <c r="GC6" t="e">
        <f>AND(#REF!,"AAAAAHy7b7g=")</f>
        <v>#REF!</v>
      </c>
      <c r="GD6" t="e">
        <f>AND(#REF!,"AAAAAHy7b7k=")</f>
        <v>#REF!</v>
      </c>
      <c r="GE6" t="e">
        <f>AND(#REF!,"AAAAAHy7b7o=")</f>
        <v>#REF!</v>
      </c>
      <c r="GF6" t="e">
        <f>AND(#REF!,"AAAAAHy7b7s=")</f>
        <v>#REF!</v>
      </c>
      <c r="GG6" t="e">
        <f>AND(#REF!,"AAAAAHy7b7w=")</f>
        <v>#REF!</v>
      </c>
      <c r="GH6" t="e">
        <f>AND(#REF!,"AAAAAHy7b70=")</f>
        <v>#REF!</v>
      </c>
      <c r="GI6" t="e">
        <f>AND(#REF!,"AAAAAHy7b74=")</f>
        <v>#REF!</v>
      </c>
      <c r="GJ6" t="e">
        <f>AND(#REF!,"AAAAAHy7b78=")</f>
        <v>#REF!</v>
      </c>
      <c r="GK6" t="e">
        <f>AND(#REF!,"AAAAAHy7b8A=")</f>
        <v>#REF!</v>
      </c>
      <c r="GL6" t="e">
        <f>AND(#REF!,"AAAAAHy7b8E=")</f>
        <v>#REF!</v>
      </c>
      <c r="GM6" t="e">
        <f>AND(#REF!,"AAAAAHy7b8I=")</f>
        <v>#REF!</v>
      </c>
      <c r="GN6" t="e">
        <f>AND(#REF!,"AAAAAHy7b8M=")</f>
        <v>#REF!</v>
      </c>
      <c r="GO6" t="e">
        <f>AND(#REF!,"AAAAAHy7b8Q=")</f>
        <v>#REF!</v>
      </c>
      <c r="GP6" t="e">
        <f>AND(#REF!,"AAAAAHy7b8U=")</f>
        <v>#REF!</v>
      </c>
      <c r="GQ6" t="e">
        <f>AND(#REF!,"AAAAAHy7b8Y=")</f>
        <v>#REF!</v>
      </c>
      <c r="GR6" t="e">
        <f>AND(#REF!,"AAAAAHy7b8c=")</f>
        <v>#REF!</v>
      </c>
      <c r="GS6" t="e">
        <f>AND(#REF!,"AAAAAHy7b8g=")</f>
        <v>#REF!</v>
      </c>
      <c r="GT6" t="e">
        <f>AND(#REF!,"AAAAAHy7b8k=")</f>
        <v>#REF!</v>
      </c>
      <c r="GU6" t="e">
        <f>AND(#REF!,"AAAAAHy7b8o=")</f>
        <v>#REF!</v>
      </c>
      <c r="GV6" t="e">
        <f>AND(#REF!,"AAAAAHy7b8s=")</f>
        <v>#REF!</v>
      </c>
      <c r="GW6" t="e">
        <f>AND(#REF!,"AAAAAHy7b8w=")</f>
        <v>#REF!</v>
      </c>
      <c r="GX6" t="e">
        <f>AND(#REF!,"AAAAAHy7b80=")</f>
        <v>#REF!</v>
      </c>
      <c r="GY6" t="e">
        <f>IF(#REF!,"AAAAAHy7b84=",0)</f>
        <v>#REF!</v>
      </c>
      <c r="GZ6" t="e">
        <f>AND(#REF!,"AAAAAHy7b88=")</f>
        <v>#REF!</v>
      </c>
      <c r="HA6" t="e">
        <f>AND(#REF!,"AAAAAHy7b9A=")</f>
        <v>#REF!</v>
      </c>
      <c r="HB6" t="e">
        <f>AND(#REF!,"AAAAAHy7b9E=")</f>
        <v>#REF!</v>
      </c>
      <c r="HC6" t="e">
        <f>AND(#REF!,"AAAAAHy7b9I=")</f>
        <v>#REF!</v>
      </c>
      <c r="HD6" t="e">
        <f>AND(#REF!,"AAAAAHy7b9M=")</f>
        <v>#REF!</v>
      </c>
      <c r="HE6" t="e">
        <f>AND(#REF!,"AAAAAHy7b9Q=")</f>
        <v>#REF!</v>
      </c>
      <c r="HF6" t="e">
        <f>AND(#REF!,"AAAAAHy7b9U=")</f>
        <v>#REF!</v>
      </c>
      <c r="HG6" t="e">
        <f>AND(#REF!,"AAAAAHy7b9Y=")</f>
        <v>#REF!</v>
      </c>
      <c r="HH6" t="e">
        <f>AND(#REF!,"AAAAAHy7b9c=")</f>
        <v>#REF!</v>
      </c>
      <c r="HI6" t="e">
        <f>AND(#REF!,"AAAAAHy7b9g=")</f>
        <v>#REF!</v>
      </c>
      <c r="HJ6" t="e">
        <f>AND(#REF!,"AAAAAHy7b9k=")</f>
        <v>#REF!</v>
      </c>
      <c r="HK6" t="e">
        <f>AND(#REF!,"AAAAAHy7b9o=")</f>
        <v>#REF!</v>
      </c>
      <c r="HL6" t="e">
        <f>AND(#REF!,"AAAAAHy7b9s=")</f>
        <v>#REF!</v>
      </c>
      <c r="HM6" t="e">
        <f>AND(#REF!,"AAAAAHy7b9w=")</f>
        <v>#REF!</v>
      </c>
      <c r="HN6" t="e">
        <f>AND(#REF!,"AAAAAHy7b90=")</f>
        <v>#REF!</v>
      </c>
      <c r="HO6" t="e">
        <f>AND(#REF!,"AAAAAHy7b94=")</f>
        <v>#REF!</v>
      </c>
      <c r="HP6" t="e">
        <f>AND(#REF!,"AAAAAHy7b98=")</f>
        <v>#REF!</v>
      </c>
      <c r="HQ6" t="e">
        <f>AND(#REF!,"AAAAAHy7b+A=")</f>
        <v>#REF!</v>
      </c>
      <c r="HR6" t="e">
        <f>AND(#REF!,"AAAAAHy7b+E=")</f>
        <v>#REF!</v>
      </c>
      <c r="HS6" t="e">
        <f>AND(#REF!,"AAAAAHy7b+I=")</f>
        <v>#REF!</v>
      </c>
      <c r="HT6" t="e">
        <f>AND(#REF!,"AAAAAHy7b+M=")</f>
        <v>#REF!</v>
      </c>
      <c r="HU6" t="e">
        <f>AND(#REF!,"AAAAAHy7b+Q=")</f>
        <v>#REF!</v>
      </c>
      <c r="HV6" t="e">
        <f>AND(#REF!,"AAAAAHy7b+U=")</f>
        <v>#REF!</v>
      </c>
      <c r="HW6" t="e">
        <f>AND(#REF!,"AAAAAHy7b+Y=")</f>
        <v>#REF!</v>
      </c>
      <c r="HX6" t="e">
        <f>AND(#REF!,"AAAAAHy7b+c=")</f>
        <v>#REF!</v>
      </c>
      <c r="HY6" t="e">
        <f>AND(#REF!,"AAAAAHy7b+g=")</f>
        <v>#REF!</v>
      </c>
      <c r="HZ6" t="e">
        <f>AND(#REF!,"AAAAAHy7b+k=")</f>
        <v>#REF!</v>
      </c>
      <c r="IA6" t="e">
        <f>AND(#REF!,"AAAAAHy7b+o=")</f>
        <v>#REF!</v>
      </c>
      <c r="IB6" t="e">
        <f>AND(#REF!,"AAAAAHy7b+s=")</f>
        <v>#REF!</v>
      </c>
      <c r="IC6" t="e">
        <f>AND(#REF!,"AAAAAHy7b+w=")</f>
        <v>#REF!</v>
      </c>
      <c r="ID6" t="e">
        <f>AND(#REF!,"AAAAAHy7b+0=")</f>
        <v>#REF!</v>
      </c>
      <c r="IE6" t="e">
        <f>AND(#REF!,"AAAAAHy7b+4=")</f>
        <v>#REF!</v>
      </c>
      <c r="IF6" t="e">
        <f>IF(#REF!,"AAAAAHy7b+8=",0)</f>
        <v>#REF!</v>
      </c>
      <c r="IG6" t="e">
        <f>AND(#REF!,"AAAAAHy7b/A=")</f>
        <v>#REF!</v>
      </c>
      <c r="IH6" t="e">
        <f>AND(#REF!,"AAAAAHy7b/E=")</f>
        <v>#REF!</v>
      </c>
      <c r="II6" t="e">
        <f>AND(#REF!,"AAAAAHy7b/I=")</f>
        <v>#REF!</v>
      </c>
      <c r="IJ6" t="e">
        <f>IF(#REF!,"AAAAAHy7b/M=",0)</f>
        <v>#REF!</v>
      </c>
      <c r="IK6" t="e">
        <f>AND(#REF!,"AAAAAHy7b/Q=")</f>
        <v>#REF!</v>
      </c>
      <c r="IL6" t="e">
        <f>AND(#REF!,"AAAAAHy7b/U=")</f>
        <v>#REF!</v>
      </c>
      <c r="IM6" t="e">
        <f>AND(#REF!,"AAAAAHy7b/Y=")</f>
        <v>#REF!</v>
      </c>
      <c r="IN6" t="e">
        <f>IF(#REF!,"AAAAAHy7b/c=",0)</f>
        <v>#REF!</v>
      </c>
      <c r="IO6" t="e">
        <f>AND(#REF!,"AAAAAHy7b/g=")</f>
        <v>#REF!</v>
      </c>
      <c r="IP6" t="e">
        <f>AND(#REF!,"AAAAAHy7b/k=")</f>
        <v>#REF!</v>
      </c>
      <c r="IQ6" t="e">
        <f>AND(#REF!,"AAAAAHy7b/o=")</f>
        <v>#REF!</v>
      </c>
      <c r="IR6" t="e">
        <f>IF(#REF!,"AAAAAHy7b/s=",0)</f>
        <v>#REF!</v>
      </c>
      <c r="IS6" t="e">
        <f>AND(#REF!,"AAAAAHy7b/w=")</f>
        <v>#REF!</v>
      </c>
      <c r="IT6" t="e">
        <f>AND(#REF!,"AAAAAHy7b/0=")</f>
        <v>#REF!</v>
      </c>
      <c r="IU6" t="e">
        <f>AND(#REF!,"AAAAAHy7b/4=")</f>
        <v>#REF!</v>
      </c>
      <c r="IV6" t="e">
        <f>IF(#REF!,"AAAAAHy7b/8=",0)</f>
        <v>#REF!</v>
      </c>
    </row>
    <row r="7" spans="1:256" x14ac:dyDescent="0.35">
      <c r="A7" t="e">
        <f>AND(#REF!,"AAAAAG8NeQA=")</f>
        <v>#REF!</v>
      </c>
      <c r="B7" t="e">
        <f>AND(#REF!,"AAAAAG8NeQE=")</f>
        <v>#REF!</v>
      </c>
      <c r="C7" t="e">
        <f>AND(#REF!,"AAAAAG8NeQI=")</f>
        <v>#REF!</v>
      </c>
      <c r="D7" t="e">
        <f>IF(#REF!,"AAAAAG8NeQM=",0)</f>
        <v>#REF!</v>
      </c>
      <c r="E7" t="e">
        <f>AND(#REF!,"AAAAAG8NeQQ=")</f>
        <v>#REF!</v>
      </c>
      <c r="F7" t="e">
        <f>AND(#REF!,"AAAAAG8NeQU=")</f>
        <v>#REF!</v>
      </c>
      <c r="G7" t="e">
        <f>AND(#REF!,"AAAAAG8NeQY=")</f>
        <v>#REF!</v>
      </c>
      <c r="H7" t="e">
        <f>IF(#REF!,"AAAAAG8NeQc=",0)</f>
        <v>#REF!</v>
      </c>
      <c r="I7" t="e">
        <f>AND(#REF!,"AAAAAG8NeQg=")</f>
        <v>#REF!</v>
      </c>
      <c r="J7" t="e">
        <f>AND(#REF!,"AAAAAG8NeQk=")</f>
        <v>#REF!</v>
      </c>
      <c r="K7" t="e">
        <f>AND(#REF!,"AAAAAG8NeQo=")</f>
        <v>#REF!</v>
      </c>
      <c r="L7" t="e">
        <f>IF(#REF!,"AAAAAG8NeQs=",0)</f>
        <v>#REF!</v>
      </c>
      <c r="M7" t="e">
        <f>AND(#REF!,"AAAAAG8NeQw=")</f>
        <v>#REF!</v>
      </c>
      <c r="N7" t="e">
        <f>AND(#REF!,"AAAAAG8NeQ0=")</f>
        <v>#REF!</v>
      </c>
      <c r="O7" t="e">
        <f>AND(#REF!,"AAAAAG8NeQ4=")</f>
        <v>#REF!</v>
      </c>
      <c r="P7" t="e">
        <f>IF(#REF!,"AAAAAG8NeQ8=",0)</f>
        <v>#REF!</v>
      </c>
      <c r="Q7" t="e">
        <f>AND(#REF!,"AAAAAG8NeRA=")</f>
        <v>#REF!</v>
      </c>
      <c r="R7" t="e">
        <f>AND(#REF!,"AAAAAG8NeRE=")</f>
        <v>#REF!</v>
      </c>
      <c r="S7" t="e">
        <f>AND(#REF!,"AAAAAG8NeRI=")</f>
        <v>#REF!</v>
      </c>
      <c r="T7" t="e">
        <f>IF(#REF!,"AAAAAG8NeRM=",0)</f>
        <v>#REF!</v>
      </c>
      <c r="U7" t="e">
        <f>AND(#REF!,"AAAAAG8NeRQ=")</f>
        <v>#REF!</v>
      </c>
      <c r="V7" t="e">
        <f>AND(#REF!,"AAAAAG8NeRU=")</f>
        <v>#REF!</v>
      </c>
      <c r="W7" t="e">
        <f>AND(#REF!,"AAAAAG8NeRY=")</f>
        <v>#REF!</v>
      </c>
      <c r="X7" t="e">
        <f>IF(#REF!,"AAAAAG8NeRc=",0)</f>
        <v>#REF!</v>
      </c>
      <c r="Y7" t="e">
        <f>AND(#REF!,"AAAAAG8NeRg=")</f>
        <v>#REF!</v>
      </c>
      <c r="Z7" t="e">
        <f>AND(#REF!,"AAAAAG8NeRk=")</f>
        <v>#REF!</v>
      </c>
      <c r="AA7" t="e">
        <f>AND(#REF!,"AAAAAG8NeRo=")</f>
        <v>#REF!</v>
      </c>
      <c r="AB7" t="e">
        <f>IF(#REF!,"AAAAAG8NeRs=",0)</f>
        <v>#REF!</v>
      </c>
      <c r="AC7" t="e">
        <f>AND(#REF!,"AAAAAG8NeRw=")</f>
        <v>#REF!</v>
      </c>
      <c r="AD7" t="e">
        <f>AND(#REF!,"AAAAAG8NeR0=")</f>
        <v>#REF!</v>
      </c>
      <c r="AE7" t="e">
        <f>AND(#REF!,"AAAAAG8NeR4=")</f>
        <v>#REF!</v>
      </c>
      <c r="AF7" t="e">
        <f>IF(#REF!,"AAAAAG8NeR8=",0)</f>
        <v>#REF!</v>
      </c>
      <c r="AG7" t="e">
        <f>AND(#REF!,"AAAAAG8NeSA=")</f>
        <v>#REF!</v>
      </c>
      <c r="AH7" t="e">
        <f>AND(#REF!,"AAAAAG8NeSE=")</f>
        <v>#REF!</v>
      </c>
      <c r="AI7" t="e">
        <f>AND(#REF!,"AAAAAG8NeSI=")</f>
        <v>#REF!</v>
      </c>
      <c r="AJ7" t="e">
        <f>IF(#REF!,"AAAAAG8NeSM=",0)</f>
        <v>#REF!</v>
      </c>
      <c r="AK7" t="e">
        <f>AND(#REF!,"AAAAAG8NeSQ=")</f>
        <v>#REF!</v>
      </c>
      <c r="AL7" t="e">
        <f>AND(#REF!,"AAAAAG8NeSU=")</f>
        <v>#REF!</v>
      </c>
      <c r="AM7" t="e">
        <f>AND(#REF!,"AAAAAG8NeSY=")</f>
        <v>#REF!</v>
      </c>
      <c r="AN7" t="e">
        <f>IF(#REF!,"AAAAAG8NeSc=",0)</f>
        <v>#REF!</v>
      </c>
      <c r="AO7" t="e">
        <f>AND(#REF!,"AAAAAG8NeSg=")</f>
        <v>#REF!</v>
      </c>
      <c r="AP7" t="e">
        <f>AND(#REF!,"AAAAAG8NeSk=")</f>
        <v>#REF!</v>
      </c>
      <c r="AQ7" t="e">
        <f>AND(#REF!,"AAAAAG8NeSo=")</f>
        <v>#REF!</v>
      </c>
      <c r="AR7" t="e">
        <f>IF(#REF!,"AAAAAG8NeSs=",0)</f>
        <v>#REF!</v>
      </c>
      <c r="AS7" t="e">
        <f>AND(#REF!,"AAAAAG8NeSw=")</f>
        <v>#REF!</v>
      </c>
      <c r="AT7" t="e">
        <f>AND(#REF!,"AAAAAG8NeS0=")</f>
        <v>#REF!</v>
      </c>
      <c r="AU7" t="e">
        <f>AND(#REF!,"AAAAAG8NeS4=")</f>
        <v>#REF!</v>
      </c>
      <c r="AV7" t="e">
        <f>IF(#REF!,"AAAAAG8NeS8=",0)</f>
        <v>#REF!</v>
      </c>
      <c r="AW7" t="e">
        <f>AND(#REF!,"AAAAAG8NeTA=")</f>
        <v>#REF!</v>
      </c>
      <c r="AX7" t="e">
        <f>AND(#REF!,"AAAAAG8NeTE=")</f>
        <v>#REF!</v>
      </c>
      <c r="AY7" t="e">
        <f>AND(#REF!,"AAAAAG8NeTI=")</f>
        <v>#REF!</v>
      </c>
      <c r="AZ7" t="e">
        <f>IF(#REF!,"AAAAAG8NeTM=",0)</f>
        <v>#REF!</v>
      </c>
      <c r="BA7" t="e">
        <f>AND(#REF!,"AAAAAG8NeTQ=")</f>
        <v>#REF!</v>
      </c>
      <c r="BB7" t="e">
        <f>AND(#REF!,"AAAAAG8NeTU=")</f>
        <v>#REF!</v>
      </c>
      <c r="BC7" t="e">
        <f>AND(#REF!,"AAAAAG8NeTY=")</f>
        <v>#REF!</v>
      </c>
      <c r="BD7" t="e">
        <f>IF(#REF!,"AAAAAG8NeTc=",0)</f>
        <v>#REF!</v>
      </c>
      <c r="BE7" t="e">
        <f>AND(#REF!,"AAAAAG8NeTg=")</f>
        <v>#REF!</v>
      </c>
      <c r="BF7" t="e">
        <f>AND(#REF!,"AAAAAG8NeTk=")</f>
        <v>#REF!</v>
      </c>
      <c r="BG7" t="e">
        <f>AND(#REF!,"AAAAAG8NeTo=")</f>
        <v>#REF!</v>
      </c>
      <c r="BH7" t="e">
        <f>IF(#REF!,"AAAAAG8NeTs=",0)</f>
        <v>#REF!</v>
      </c>
      <c r="BI7" t="e">
        <f>AND(#REF!,"AAAAAG8NeTw=")</f>
        <v>#REF!</v>
      </c>
      <c r="BJ7" t="e">
        <f>AND(#REF!,"AAAAAG8NeT0=")</f>
        <v>#REF!</v>
      </c>
      <c r="BK7" t="e">
        <f>AND(#REF!,"AAAAAG8NeT4=")</f>
        <v>#REF!</v>
      </c>
      <c r="BL7" t="e">
        <f>IF(#REF!,"AAAAAG8NeT8=",0)</f>
        <v>#REF!</v>
      </c>
      <c r="BM7" t="e">
        <f>AND(#REF!,"AAAAAG8NeUA=")</f>
        <v>#REF!</v>
      </c>
      <c r="BN7" t="e">
        <f>AND(#REF!,"AAAAAG8NeUE=")</f>
        <v>#REF!</v>
      </c>
      <c r="BO7" t="e">
        <f>AND(#REF!,"AAAAAG8NeUI=")</f>
        <v>#REF!</v>
      </c>
      <c r="BP7" t="e">
        <f>IF(#REF!,"AAAAAG8NeUM=",0)</f>
        <v>#REF!</v>
      </c>
      <c r="BQ7" t="e">
        <f>AND(#REF!,"AAAAAG8NeUQ=")</f>
        <v>#REF!</v>
      </c>
      <c r="BR7" t="e">
        <f>AND(#REF!,"AAAAAG8NeUU=")</f>
        <v>#REF!</v>
      </c>
      <c r="BS7" t="e">
        <f>AND(#REF!,"AAAAAG8NeUY=")</f>
        <v>#REF!</v>
      </c>
      <c r="BT7" t="e">
        <f>IF(#REF!,"AAAAAG8NeUc=",0)</f>
        <v>#REF!</v>
      </c>
      <c r="BU7" t="e">
        <f>AND(#REF!,"AAAAAG8NeUg=")</f>
        <v>#REF!</v>
      </c>
      <c r="BV7" t="e">
        <f>AND(#REF!,"AAAAAG8NeUk=")</f>
        <v>#REF!</v>
      </c>
      <c r="BW7" t="e">
        <f>AND(#REF!,"AAAAAG8NeUo=")</f>
        <v>#REF!</v>
      </c>
      <c r="BX7" t="e">
        <f>IF(#REF!,"AAAAAG8NeUs=",0)</f>
        <v>#REF!</v>
      </c>
      <c r="BY7" t="e">
        <f>AND(#REF!,"AAAAAG8NeUw=")</f>
        <v>#REF!</v>
      </c>
      <c r="BZ7" t="e">
        <f>AND(#REF!,"AAAAAG8NeU0=")</f>
        <v>#REF!</v>
      </c>
      <c r="CA7" t="e">
        <f>AND(#REF!,"AAAAAG8NeU4=")</f>
        <v>#REF!</v>
      </c>
      <c r="CB7" t="e">
        <f>IF(#REF!,"AAAAAG8NeU8=",0)</f>
        <v>#REF!</v>
      </c>
      <c r="CC7" t="e">
        <f>AND(#REF!,"AAAAAG8NeVA=")</f>
        <v>#REF!</v>
      </c>
      <c r="CD7" t="e">
        <f>AND(#REF!,"AAAAAG8NeVE=")</f>
        <v>#REF!</v>
      </c>
      <c r="CE7" t="e">
        <f>AND(#REF!,"AAAAAG8NeVI=")</f>
        <v>#REF!</v>
      </c>
      <c r="CF7" t="e">
        <f>IF(#REF!,"AAAAAG8NeVM=",0)</f>
        <v>#REF!</v>
      </c>
      <c r="CG7" t="e">
        <f>AND(#REF!,"AAAAAG8NeVQ=")</f>
        <v>#REF!</v>
      </c>
      <c r="CH7" t="e">
        <f>AND(#REF!,"AAAAAG8NeVU=")</f>
        <v>#REF!</v>
      </c>
      <c r="CI7" t="e">
        <f>AND(#REF!,"AAAAAG8NeVY=")</f>
        <v>#REF!</v>
      </c>
      <c r="CJ7" t="e">
        <f>IF(#REF!,"AAAAAG8NeVc=",0)</f>
        <v>#REF!</v>
      </c>
      <c r="CK7" t="e">
        <f>AND(#REF!,"AAAAAG8NeVg=")</f>
        <v>#REF!</v>
      </c>
      <c r="CL7" t="e">
        <f>AND(#REF!,"AAAAAG8NeVk=")</f>
        <v>#REF!</v>
      </c>
      <c r="CM7" t="e">
        <f>AND(#REF!,"AAAAAG8NeVo=")</f>
        <v>#REF!</v>
      </c>
      <c r="CN7" t="e">
        <f>IF(#REF!,"AAAAAG8NeVs=",0)</f>
        <v>#REF!</v>
      </c>
      <c r="CO7" t="e">
        <f>AND(#REF!,"AAAAAG8NeVw=")</f>
        <v>#REF!</v>
      </c>
      <c r="CP7" t="e">
        <f>AND(#REF!,"AAAAAG8NeV0=")</f>
        <v>#REF!</v>
      </c>
      <c r="CQ7" t="e">
        <f>AND(#REF!,"AAAAAG8NeV4=")</f>
        <v>#REF!</v>
      </c>
      <c r="CR7" t="e">
        <f>IF(#REF!,"AAAAAG8NeV8=",0)</f>
        <v>#REF!</v>
      </c>
      <c r="CS7" t="e">
        <f>AND(#REF!,"AAAAAG8NeWA=")</f>
        <v>#REF!</v>
      </c>
      <c r="CT7" t="e">
        <f>AND(#REF!,"AAAAAG8NeWE=")</f>
        <v>#REF!</v>
      </c>
      <c r="CU7" t="e">
        <f>AND(#REF!,"AAAAAG8NeWI=")</f>
        <v>#REF!</v>
      </c>
      <c r="CV7" t="e">
        <f>IF(#REF!,"AAAAAG8NeWM=",0)</f>
        <v>#REF!</v>
      </c>
      <c r="CW7" t="e">
        <f>IF(#REF!,"AAAAAG8NeWQ=",0)</f>
        <v>#REF!</v>
      </c>
      <c r="CX7" t="e">
        <f>IF(#REF!,"AAAAAG8NeWU=",0)</f>
        <v>#REF!</v>
      </c>
      <c r="CY7" t="e">
        <f>IF(#REF!,"AAAAAG8NeWY=",0)</f>
        <v>#REF!</v>
      </c>
      <c r="CZ7" t="e">
        <f>IF(#REF!,"AAAAAG8NeWc=",0)</f>
        <v>#REF!</v>
      </c>
      <c r="DA7" t="e">
        <f>IF(#REF!,"AAAAAG8NeWg=",0)</f>
        <v>#REF!</v>
      </c>
      <c r="DB7" t="e">
        <f>IF(#REF!,"AAAAAG8NeWk=",0)</f>
        <v>#REF!</v>
      </c>
      <c r="DC7" t="e">
        <f>IF(#REF!,"AAAAAG8NeWo=",0)</f>
        <v>#REF!</v>
      </c>
      <c r="DD7" t="e">
        <f>IF(#REF!,"AAAAAG8NeWs=",0)</f>
        <v>#REF!</v>
      </c>
      <c r="DE7" t="e">
        <f>IF(#REF!,"AAAAAG8NeWw=",0)</f>
        <v>#REF!</v>
      </c>
      <c r="DF7" t="e">
        <f>IF(#REF!,"AAAAAG8NeW0=",0)</f>
        <v>#REF!</v>
      </c>
      <c r="DG7" t="e">
        <f>IF(#REF!,"AAAAAG8NeW4=",0)</f>
        <v>#REF!</v>
      </c>
      <c r="DH7" t="e">
        <f>IF(#REF!,"AAAAAG8NeW8=",0)</f>
        <v>#REF!</v>
      </c>
      <c r="DI7" t="e">
        <f>IF(#REF!,"AAAAAG8NeXA=",0)</f>
        <v>#REF!</v>
      </c>
      <c r="DJ7" t="e">
        <f>IF(#REF!,"AAAAAG8NeXE=",0)</f>
        <v>#REF!</v>
      </c>
      <c r="DK7" t="e">
        <f>IF(#REF!,"AAAAAG8NeXI=",0)</f>
        <v>#REF!</v>
      </c>
      <c r="DL7" t="e">
        <f>IF(#REF!,"AAAAAG8NeXM=",0)</f>
        <v>#REF!</v>
      </c>
      <c r="DM7" t="e">
        <f>IF(#REF!,"AAAAAG8NeXQ=",0)</f>
        <v>#REF!</v>
      </c>
      <c r="DN7" t="e">
        <f>IF(#REF!,"AAAAAG8NeXU=",0)</f>
        <v>#REF!</v>
      </c>
      <c r="DO7" t="e">
        <f>IF(#REF!,"AAAAAG8NeXY=",0)</f>
        <v>#REF!</v>
      </c>
      <c r="DP7" t="e">
        <f>IF(#REF!,"AAAAAG8NeXc=",0)</f>
        <v>#REF!</v>
      </c>
      <c r="DQ7" t="e">
        <f>IF(#REF!,"AAAAAG8NeXg=",0)</f>
        <v>#REF!</v>
      </c>
      <c r="DR7" t="e">
        <f>IF(#REF!,"AAAAAG8NeXk=",0)</f>
        <v>#REF!</v>
      </c>
      <c r="DS7" t="e">
        <f>IF(#REF!,"AAAAAG8NeXo=",0)</f>
        <v>#REF!</v>
      </c>
      <c r="DT7" t="e">
        <f>IF(#REF!,"AAAAAG8NeXs=",0)</f>
        <v>#REF!</v>
      </c>
      <c r="DU7" t="e">
        <f>IF(#REF!,"AAAAAG8NeXw=",0)</f>
        <v>#REF!</v>
      </c>
      <c r="DV7" t="e">
        <f>IF(#REF!,"AAAAAG8NeX0=",0)</f>
        <v>#REF!</v>
      </c>
      <c r="DW7" t="e">
        <f>IF(#REF!,"AAAAAG8NeX4=",0)</f>
        <v>#REF!</v>
      </c>
      <c r="DX7" t="e">
        <f>IF(#REF!,"AAAAAG8NeX8=",0)</f>
        <v>#REF!</v>
      </c>
      <c r="DY7" t="e">
        <f>IF(#REF!,"AAAAAG8NeYA=",0)</f>
        <v>#REF!</v>
      </c>
      <c r="DZ7" t="e">
        <f>IF(#REF!,"AAAAAG8NeYE=",0)</f>
        <v>#REF!</v>
      </c>
      <c r="EA7" t="e">
        <f>IF(#REF!,"AAAAAG8NeYI=",0)</f>
        <v>#REF!</v>
      </c>
      <c r="EB7" t="e">
        <f>IF(#REF!,"AAAAAG8NeYM=",0)</f>
        <v>#REF!</v>
      </c>
      <c r="EC7" t="e">
        <f>AND(#REF!,"AAAAAG8NeYQ=")</f>
        <v>#REF!</v>
      </c>
      <c r="ED7" t="e">
        <f>AND(#REF!,"AAAAAG8NeYU=")</f>
        <v>#REF!</v>
      </c>
      <c r="EE7" t="e">
        <f>AND(#REF!,"AAAAAG8NeYY=")</f>
        <v>#REF!</v>
      </c>
      <c r="EF7" t="e">
        <f>AND(#REF!,"AAAAAG8NeYc=")</f>
        <v>#REF!</v>
      </c>
      <c r="EG7" t="e">
        <f>AND(#REF!,"AAAAAG8NeYg=")</f>
        <v>#REF!</v>
      </c>
      <c r="EH7" t="e">
        <f>AND(#REF!,"AAAAAG8NeYk=")</f>
        <v>#REF!</v>
      </c>
      <c r="EI7" t="e">
        <f>AND(#REF!,"AAAAAG8NeYo=")</f>
        <v>#REF!</v>
      </c>
      <c r="EJ7" t="e">
        <f>AND(#REF!,"AAAAAG8NeYs=")</f>
        <v>#REF!</v>
      </c>
      <c r="EK7" t="e">
        <f>AND(#REF!,"AAAAAG8NeYw=")</f>
        <v>#REF!</v>
      </c>
      <c r="EL7" t="e">
        <f>AND(#REF!,"AAAAAG8NeY0=")</f>
        <v>#REF!</v>
      </c>
      <c r="EM7" t="e">
        <f>AND(#REF!,"AAAAAG8NeY4=")</f>
        <v>#REF!</v>
      </c>
      <c r="EN7" t="e">
        <f>AND(#REF!,"AAAAAG8NeY8=")</f>
        <v>#REF!</v>
      </c>
      <c r="EO7" t="e">
        <f>AND(#REF!,"AAAAAG8NeZA=")</f>
        <v>#REF!</v>
      </c>
      <c r="EP7" t="e">
        <f>AND(#REF!,"AAAAAG8NeZE=")</f>
        <v>#REF!</v>
      </c>
      <c r="EQ7" t="e">
        <f>AND(#REF!,"AAAAAG8NeZI=")</f>
        <v>#REF!</v>
      </c>
      <c r="ER7" t="e">
        <f>AND(#REF!,"AAAAAG8NeZM=")</f>
        <v>#REF!</v>
      </c>
      <c r="ES7" t="e">
        <f>AND(#REF!,"AAAAAG8NeZQ=")</f>
        <v>#REF!</v>
      </c>
      <c r="ET7" t="e">
        <f>AND(#REF!,"AAAAAG8NeZU=")</f>
        <v>#REF!</v>
      </c>
      <c r="EU7" t="e">
        <f>AND(#REF!,"AAAAAG8NeZY=")</f>
        <v>#REF!</v>
      </c>
      <c r="EV7" t="e">
        <f>AND(#REF!,"AAAAAG8NeZc=")</f>
        <v>#REF!</v>
      </c>
      <c r="EW7" t="e">
        <f>AND(#REF!,"AAAAAG8NeZg=")</f>
        <v>#REF!</v>
      </c>
      <c r="EX7" t="e">
        <f>IF(#REF!,"AAAAAG8NeZk=",0)</f>
        <v>#REF!</v>
      </c>
      <c r="EY7" t="e">
        <f>AND(#REF!,"AAAAAG8NeZo=")</f>
        <v>#REF!</v>
      </c>
      <c r="EZ7" t="e">
        <f>AND(#REF!,"AAAAAG8NeZs=")</f>
        <v>#REF!</v>
      </c>
      <c r="FA7" t="e">
        <f>AND(#REF!,"AAAAAG8NeZw=")</f>
        <v>#REF!</v>
      </c>
      <c r="FB7" t="e">
        <f>AND(#REF!,"AAAAAG8NeZ0=")</f>
        <v>#REF!</v>
      </c>
      <c r="FC7" t="e">
        <f>AND(#REF!,"AAAAAG8NeZ4=")</f>
        <v>#REF!</v>
      </c>
      <c r="FD7" t="e">
        <f>AND(#REF!,"AAAAAG8NeZ8=")</f>
        <v>#REF!</v>
      </c>
      <c r="FE7" t="e">
        <f>AND(#REF!,"AAAAAG8NeaA=")</f>
        <v>#REF!</v>
      </c>
      <c r="FF7" t="e">
        <f>AND(#REF!,"AAAAAG8NeaE=")</f>
        <v>#REF!</v>
      </c>
      <c r="FG7" t="e">
        <f>AND(#REF!,"AAAAAG8NeaI=")</f>
        <v>#REF!</v>
      </c>
      <c r="FH7" t="e">
        <f>AND(#REF!,"AAAAAG8NeaM=")</f>
        <v>#REF!</v>
      </c>
      <c r="FI7" t="e">
        <f>AND(#REF!,"AAAAAG8NeaQ=")</f>
        <v>#REF!</v>
      </c>
      <c r="FJ7" t="e">
        <f>AND(#REF!,"AAAAAG8NeaU=")</f>
        <v>#REF!</v>
      </c>
      <c r="FK7" t="e">
        <f>AND(#REF!,"AAAAAG8NeaY=")</f>
        <v>#REF!</v>
      </c>
      <c r="FL7" t="e">
        <f>AND(#REF!,"AAAAAG8Neac=")</f>
        <v>#REF!</v>
      </c>
      <c r="FM7" t="e">
        <f>AND(#REF!,"AAAAAG8Neag=")</f>
        <v>#REF!</v>
      </c>
      <c r="FN7" t="e">
        <f>AND(#REF!,"AAAAAG8Neak=")</f>
        <v>#REF!</v>
      </c>
      <c r="FO7" t="e">
        <f>AND(#REF!,"AAAAAG8Neao=")</f>
        <v>#REF!</v>
      </c>
      <c r="FP7" t="e">
        <f>AND(#REF!,"AAAAAG8Neas=")</f>
        <v>#REF!</v>
      </c>
      <c r="FQ7" t="e">
        <f>AND(#REF!,"AAAAAG8Neaw=")</f>
        <v>#REF!</v>
      </c>
      <c r="FR7" t="e">
        <f>AND(#REF!,"AAAAAG8Nea0=")</f>
        <v>#REF!</v>
      </c>
      <c r="FS7" t="e">
        <f>AND(#REF!,"AAAAAG8Nea4=")</f>
        <v>#REF!</v>
      </c>
      <c r="FT7" t="e">
        <f>IF(#REF!,"AAAAAG8Nea8=",0)</f>
        <v>#REF!</v>
      </c>
      <c r="FU7" t="e">
        <f>AND(#REF!,"AAAAAG8NebA=")</f>
        <v>#REF!</v>
      </c>
      <c r="FV7" t="e">
        <f>AND(#REF!,"AAAAAG8NebE=")</f>
        <v>#REF!</v>
      </c>
      <c r="FW7" t="e">
        <f>AND(#REF!,"AAAAAG8NebI=")</f>
        <v>#REF!</v>
      </c>
      <c r="FX7" t="e">
        <f>AND(#REF!,"AAAAAG8NebM=")</f>
        <v>#REF!</v>
      </c>
      <c r="FY7" t="e">
        <f>AND(#REF!,"AAAAAG8NebQ=")</f>
        <v>#REF!</v>
      </c>
      <c r="FZ7" t="e">
        <f>AND(#REF!,"AAAAAG8NebU=")</f>
        <v>#REF!</v>
      </c>
      <c r="GA7" t="e">
        <f>AND(#REF!,"AAAAAG8NebY=")</f>
        <v>#REF!</v>
      </c>
      <c r="GB7" t="e">
        <f>AND(#REF!,"AAAAAG8Nebc=")</f>
        <v>#REF!</v>
      </c>
      <c r="GC7" t="e">
        <f>AND(#REF!,"AAAAAG8Nebg=")</f>
        <v>#REF!</v>
      </c>
      <c r="GD7" t="e">
        <f>AND(#REF!,"AAAAAG8Nebk=")</f>
        <v>#REF!</v>
      </c>
      <c r="GE7" t="e">
        <f>AND(#REF!,"AAAAAG8Nebo=")</f>
        <v>#REF!</v>
      </c>
      <c r="GF7" t="e">
        <f>AND(#REF!,"AAAAAG8Nebs=")</f>
        <v>#REF!</v>
      </c>
      <c r="GG7" t="e">
        <f>AND(#REF!,"AAAAAG8Nebw=")</f>
        <v>#REF!</v>
      </c>
      <c r="GH7" t="e">
        <f>AND(#REF!,"AAAAAG8Neb0=")</f>
        <v>#REF!</v>
      </c>
      <c r="GI7" t="e">
        <f>AND(#REF!,"AAAAAG8Neb4=")</f>
        <v>#REF!</v>
      </c>
      <c r="GJ7" t="e">
        <f>AND(#REF!,"AAAAAG8Neb8=")</f>
        <v>#REF!</v>
      </c>
      <c r="GK7" t="e">
        <f>AND(#REF!,"AAAAAG8NecA=")</f>
        <v>#REF!</v>
      </c>
      <c r="GL7" t="e">
        <f>AND(#REF!,"AAAAAG8NecE=")</f>
        <v>#REF!</v>
      </c>
      <c r="GM7" t="e">
        <f>AND(#REF!,"AAAAAG8NecI=")</f>
        <v>#REF!</v>
      </c>
      <c r="GN7" t="e">
        <f>AND(#REF!,"AAAAAG8NecM=")</f>
        <v>#REF!</v>
      </c>
      <c r="GO7" t="e">
        <f>AND(#REF!,"AAAAAG8NecQ=")</f>
        <v>#REF!</v>
      </c>
      <c r="GP7" t="e">
        <f>IF(#REF!,"AAAAAG8NecU=",0)</f>
        <v>#REF!</v>
      </c>
      <c r="GQ7" t="e">
        <f>AND(#REF!,"AAAAAG8NecY=")</f>
        <v>#REF!</v>
      </c>
      <c r="GR7" t="e">
        <f>AND(#REF!,"AAAAAG8Necc=")</f>
        <v>#REF!</v>
      </c>
      <c r="GS7" t="e">
        <f>AND(#REF!,"AAAAAG8Necg=")</f>
        <v>#REF!</v>
      </c>
      <c r="GT7" t="e">
        <f>AND(#REF!,"AAAAAG8Neck=")</f>
        <v>#REF!</v>
      </c>
      <c r="GU7" t="e">
        <f>AND(#REF!,"AAAAAG8Neco=")</f>
        <v>#REF!</v>
      </c>
      <c r="GV7" t="e">
        <f>AND(#REF!,"AAAAAG8Necs=")</f>
        <v>#REF!</v>
      </c>
      <c r="GW7" t="e">
        <f>AND(#REF!,"AAAAAG8Necw=")</f>
        <v>#REF!</v>
      </c>
      <c r="GX7" t="e">
        <f>AND(#REF!,"AAAAAG8Nec0=")</f>
        <v>#REF!</v>
      </c>
      <c r="GY7" t="e">
        <f>AND(#REF!,"AAAAAG8Nec4=")</f>
        <v>#REF!</v>
      </c>
      <c r="GZ7" t="e">
        <f>AND(#REF!,"AAAAAG8Nec8=")</f>
        <v>#REF!</v>
      </c>
      <c r="HA7" t="e">
        <f>AND(#REF!,"AAAAAG8NedA=")</f>
        <v>#REF!</v>
      </c>
      <c r="HB7" t="e">
        <f>AND(#REF!,"AAAAAG8NedE=")</f>
        <v>#REF!</v>
      </c>
      <c r="HC7" t="e">
        <f>AND(#REF!,"AAAAAG8NedI=")</f>
        <v>#REF!</v>
      </c>
      <c r="HD7" t="e">
        <f>AND(#REF!,"AAAAAG8NedM=")</f>
        <v>#REF!</v>
      </c>
      <c r="HE7" t="e">
        <f>AND(#REF!,"AAAAAG8NedQ=")</f>
        <v>#REF!</v>
      </c>
      <c r="HF7" t="e">
        <f>AND(#REF!,"AAAAAG8NedU=")</f>
        <v>#REF!</v>
      </c>
      <c r="HG7" t="e">
        <f>AND(#REF!,"AAAAAG8NedY=")</f>
        <v>#REF!</v>
      </c>
      <c r="HH7" t="e">
        <f>AND(#REF!,"AAAAAG8Nedc=")</f>
        <v>#REF!</v>
      </c>
      <c r="HI7" t="e">
        <f>AND(#REF!,"AAAAAG8Nedg=")</f>
        <v>#REF!</v>
      </c>
      <c r="HJ7" t="e">
        <f>AND(#REF!,"AAAAAG8Nedk=")</f>
        <v>#REF!</v>
      </c>
      <c r="HK7" t="e">
        <f>AND(#REF!,"AAAAAG8Nedo=")</f>
        <v>#REF!</v>
      </c>
      <c r="HL7" t="e">
        <f>IF(#REF!,"AAAAAG8Neds=",0)</f>
        <v>#REF!</v>
      </c>
      <c r="HM7" t="e">
        <f>AND(#REF!,"AAAAAG8Nedw=")</f>
        <v>#REF!</v>
      </c>
      <c r="HN7" t="e">
        <f>AND(#REF!,"AAAAAG8Ned0=")</f>
        <v>#REF!</v>
      </c>
      <c r="HO7" t="e">
        <f>AND(#REF!,"AAAAAG8Ned4=")</f>
        <v>#REF!</v>
      </c>
      <c r="HP7" t="e">
        <f>AND(#REF!,"AAAAAG8Ned8=")</f>
        <v>#REF!</v>
      </c>
      <c r="HQ7" t="e">
        <f>AND(#REF!,"AAAAAG8NeeA=")</f>
        <v>#REF!</v>
      </c>
      <c r="HR7" t="e">
        <f>AND(#REF!,"AAAAAG8NeeE=")</f>
        <v>#REF!</v>
      </c>
      <c r="HS7" t="e">
        <f>AND(#REF!,"AAAAAG8NeeI=")</f>
        <v>#REF!</v>
      </c>
      <c r="HT7" t="e">
        <f>AND(#REF!,"AAAAAG8NeeM=")</f>
        <v>#REF!</v>
      </c>
      <c r="HU7" t="e">
        <f>AND(#REF!,"AAAAAG8NeeQ=")</f>
        <v>#REF!</v>
      </c>
      <c r="HV7" t="e">
        <f>AND(#REF!,"AAAAAG8NeeU=")</f>
        <v>#REF!</v>
      </c>
      <c r="HW7" t="e">
        <f>AND(#REF!,"AAAAAG8NeeY=")</f>
        <v>#REF!</v>
      </c>
      <c r="HX7" t="e">
        <f>AND(#REF!,"AAAAAG8Neec=")</f>
        <v>#REF!</v>
      </c>
      <c r="HY7" t="e">
        <f>AND(#REF!,"AAAAAG8Neeg=")</f>
        <v>#REF!</v>
      </c>
      <c r="HZ7" t="e">
        <f>AND(#REF!,"AAAAAG8Neek=")</f>
        <v>#REF!</v>
      </c>
      <c r="IA7" t="e">
        <f>AND(#REF!,"AAAAAG8Neeo=")</f>
        <v>#REF!</v>
      </c>
      <c r="IB7" t="e">
        <f>AND(#REF!,"AAAAAG8Nees=")</f>
        <v>#REF!</v>
      </c>
      <c r="IC7" t="e">
        <f>AND(#REF!,"AAAAAG8Neew=")</f>
        <v>#REF!</v>
      </c>
      <c r="ID7" t="e">
        <f>AND(#REF!,"AAAAAG8Nee0=")</f>
        <v>#REF!</v>
      </c>
      <c r="IE7" t="e">
        <f>AND(#REF!,"AAAAAG8Nee4=")</f>
        <v>#REF!</v>
      </c>
      <c r="IF7" t="e">
        <f>AND(#REF!,"AAAAAG8Nee8=")</f>
        <v>#REF!</v>
      </c>
      <c r="IG7" t="e">
        <f>AND(#REF!,"AAAAAG8NefA=")</f>
        <v>#REF!</v>
      </c>
      <c r="IH7" t="e">
        <f>IF(#REF!,"AAAAAG8NefE=",0)</f>
        <v>#REF!</v>
      </c>
      <c r="II7" t="e">
        <f>AND(#REF!,"AAAAAG8NefI=")</f>
        <v>#REF!</v>
      </c>
      <c r="IJ7" t="e">
        <f>AND(#REF!,"AAAAAG8NefM=")</f>
        <v>#REF!</v>
      </c>
      <c r="IK7" t="e">
        <f>AND(#REF!,"AAAAAG8NefQ=")</f>
        <v>#REF!</v>
      </c>
      <c r="IL7" t="e">
        <f>AND(#REF!,"AAAAAG8NefU=")</f>
        <v>#REF!</v>
      </c>
      <c r="IM7" t="e">
        <f>AND(#REF!,"AAAAAG8NefY=")</f>
        <v>#REF!</v>
      </c>
      <c r="IN7" t="e">
        <f>AND(#REF!,"AAAAAG8Nefc=")</f>
        <v>#REF!</v>
      </c>
      <c r="IO7" t="e">
        <f>AND(#REF!,"AAAAAG8Nefg=")</f>
        <v>#REF!</v>
      </c>
      <c r="IP7" t="e">
        <f>AND(#REF!,"AAAAAG8Nefk=")</f>
        <v>#REF!</v>
      </c>
      <c r="IQ7" t="e">
        <f>AND(#REF!,"AAAAAG8Nefo=")</f>
        <v>#REF!</v>
      </c>
      <c r="IR7" t="e">
        <f>AND(#REF!,"AAAAAG8Nefs=")</f>
        <v>#REF!</v>
      </c>
      <c r="IS7" t="e">
        <f>AND(#REF!,"AAAAAG8Nefw=")</f>
        <v>#REF!</v>
      </c>
      <c r="IT7" t="e">
        <f>AND(#REF!,"AAAAAG8Nef0=")</f>
        <v>#REF!</v>
      </c>
      <c r="IU7" t="e">
        <f>AND(#REF!,"AAAAAG8Nef4=")</f>
        <v>#REF!</v>
      </c>
      <c r="IV7" t="e">
        <f>AND(#REF!,"AAAAAG8Nef8=")</f>
        <v>#REF!</v>
      </c>
    </row>
    <row r="8" spans="1:256" x14ac:dyDescent="0.35">
      <c r="A8" t="e">
        <f>AND(#REF!,"AAAAAF6QfwA=")</f>
        <v>#REF!</v>
      </c>
      <c r="B8" t="e">
        <f>AND(#REF!,"AAAAAF6QfwE=")</f>
        <v>#REF!</v>
      </c>
      <c r="C8" t="e">
        <f>AND(#REF!,"AAAAAF6QfwI=")</f>
        <v>#REF!</v>
      </c>
      <c r="D8" t="e">
        <f>AND(#REF!,"AAAAAF6QfwM=")</f>
        <v>#REF!</v>
      </c>
      <c r="E8" t="e">
        <f>AND(#REF!,"AAAAAF6QfwQ=")</f>
        <v>#REF!</v>
      </c>
      <c r="F8" t="e">
        <f>AND(#REF!,"AAAAAF6QfwU=")</f>
        <v>#REF!</v>
      </c>
      <c r="G8" t="e">
        <f>AND(#REF!,"AAAAAF6QfwY=")</f>
        <v>#REF!</v>
      </c>
      <c r="H8" t="e">
        <f>IF(#REF!,"AAAAAF6Qfwc=",0)</f>
        <v>#REF!</v>
      </c>
      <c r="I8" t="e">
        <f>AND(#REF!,"AAAAAF6Qfwg=")</f>
        <v>#REF!</v>
      </c>
      <c r="J8" t="e">
        <f>AND(#REF!,"AAAAAF6Qfwk=")</f>
        <v>#REF!</v>
      </c>
      <c r="K8" t="e">
        <f>AND(#REF!,"AAAAAF6Qfwo=")</f>
        <v>#REF!</v>
      </c>
      <c r="L8" t="e">
        <f>AND(#REF!,"AAAAAF6Qfws=")</f>
        <v>#REF!</v>
      </c>
      <c r="M8" t="e">
        <f>AND(#REF!,"AAAAAF6Qfww=")</f>
        <v>#REF!</v>
      </c>
      <c r="N8" t="e">
        <f>AND(#REF!,"AAAAAF6Qfw0=")</f>
        <v>#REF!</v>
      </c>
      <c r="O8" t="e">
        <f>AND(#REF!,"AAAAAF6Qfw4=")</f>
        <v>#REF!</v>
      </c>
      <c r="P8" t="e">
        <f>AND(#REF!,"AAAAAF6Qfw8=")</f>
        <v>#REF!</v>
      </c>
      <c r="Q8" t="e">
        <f>AND(#REF!,"AAAAAF6QfxA=")</f>
        <v>#REF!</v>
      </c>
      <c r="R8" t="e">
        <f>AND(#REF!,"AAAAAF6QfxE=")</f>
        <v>#REF!</v>
      </c>
      <c r="S8" t="e">
        <f>AND(#REF!,"AAAAAF6QfxI=")</f>
        <v>#REF!</v>
      </c>
      <c r="T8" t="e">
        <f>AND(#REF!,"AAAAAF6QfxM=")</f>
        <v>#REF!</v>
      </c>
      <c r="U8" t="e">
        <f>AND(#REF!,"AAAAAF6QfxQ=")</f>
        <v>#REF!</v>
      </c>
      <c r="V8" t="e">
        <f>AND(#REF!,"AAAAAF6QfxU=")</f>
        <v>#REF!</v>
      </c>
      <c r="W8" t="e">
        <f>AND(#REF!,"AAAAAF6QfxY=")</f>
        <v>#REF!</v>
      </c>
      <c r="X8" t="e">
        <f>AND(#REF!,"AAAAAF6Qfxc=")</f>
        <v>#REF!</v>
      </c>
      <c r="Y8" t="e">
        <f>AND(#REF!,"AAAAAF6Qfxg=")</f>
        <v>#REF!</v>
      </c>
      <c r="Z8" t="e">
        <f>AND(#REF!,"AAAAAF6Qfxk=")</f>
        <v>#REF!</v>
      </c>
      <c r="AA8" t="e">
        <f>AND(#REF!,"AAAAAF6Qfxo=")</f>
        <v>#REF!</v>
      </c>
      <c r="AB8" t="e">
        <f>AND(#REF!,"AAAAAF6Qfxs=")</f>
        <v>#REF!</v>
      </c>
      <c r="AC8" t="e">
        <f>AND(#REF!,"AAAAAF6Qfxw=")</f>
        <v>#REF!</v>
      </c>
      <c r="AD8" t="e">
        <f>IF(#REF!,"AAAAAF6Qfx0=",0)</f>
        <v>#REF!</v>
      </c>
      <c r="AE8" t="e">
        <f>AND(#REF!,"AAAAAF6Qfx4=")</f>
        <v>#REF!</v>
      </c>
      <c r="AF8" t="e">
        <f>AND(#REF!,"AAAAAF6Qfx8=")</f>
        <v>#REF!</v>
      </c>
      <c r="AG8" t="e">
        <f>AND(#REF!,"AAAAAF6QfyA=")</f>
        <v>#REF!</v>
      </c>
      <c r="AH8" t="e">
        <f>AND(#REF!,"AAAAAF6QfyE=")</f>
        <v>#REF!</v>
      </c>
      <c r="AI8" t="e">
        <f>AND(#REF!,"AAAAAF6QfyI=")</f>
        <v>#REF!</v>
      </c>
      <c r="AJ8" t="e">
        <f>AND(#REF!,"AAAAAF6QfyM=")</f>
        <v>#REF!</v>
      </c>
      <c r="AK8" t="e">
        <f>AND(#REF!,"AAAAAF6QfyQ=")</f>
        <v>#REF!</v>
      </c>
      <c r="AL8" t="e">
        <f>AND(#REF!,"AAAAAF6QfyU=")</f>
        <v>#REF!</v>
      </c>
      <c r="AM8" t="e">
        <f>AND(#REF!,"AAAAAF6QfyY=")</f>
        <v>#REF!</v>
      </c>
      <c r="AN8" t="e">
        <f>AND(#REF!,"AAAAAF6Qfyc=")</f>
        <v>#REF!</v>
      </c>
      <c r="AO8" t="e">
        <f>AND(#REF!,"AAAAAF6Qfyg=")</f>
        <v>#REF!</v>
      </c>
      <c r="AP8" t="e">
        <f>AND(#REF!,"AAAAAF6Qfyk=")</f>
        <v>#REF!</v>
      </c>
      <c r="AQ8" t="e">
        <f>AND(#REF!,"AAAAAF6Qfyo=")</f>
        <v>#REF!</v>
      </c>
      <c r="AR8" t="e">
        <f>AND(#REF!,"AAAAAF6Qfys=")</f>
        <v>#REF!</v>
      </c>
      <c r="AS8" t="e">
        <f>AND(#REF!,"AAAAAF6Qfyw=")</f>
        <v>#REF!</v>
      </c>
      <c r="AT8" t="e">
        <f>AND(#REF!,"AAAAAF6Qfy0=")</f>
        <v>#REF!</v>
      </c>
      <c r="AU8" t="e">
        <f>AND(#REF!,"AAAAAF6Qfy4=")</f>
        <v>#REF!</v>
      </c>
      <c r="AV8" t="e">
        <f>AND(#REF!,"AAAAAF6Qfy8=")</f>
        <v>#REF!</v>
      </c>
      <c r="AW8" t="e">
        <f>AND(#REF!,"AAAAAF6QfzA=")</f>
        <v>#REF!</v>
      </c>
      <c r="AX8" t="e">
        <f>AND(#REF!,"AAAAAF6QfzE=")</f>
        <v>#REF!</v>
      </c>
      <c r="AY8" t="e">
        <f>AND(#REF!,"AAAAAF6QfzI=")</f>
        <v>#REF!</v>
      </c>
      <c r="AZ8" t="e">
        <f>IF(#REF!,"AAAAAF6QfzM=",0)</f>
        <v>#REF!</v>
      </c>
      <c r="BA8" t="e">
        <f>AND(#REF!,"AAAAAF6QfzQ=")</f>
        <v>#REF!</v>
      </c>
      <c r="BB8" t="e">
        <f>AND(#REF!,"AAAAAF6QfzU=")</f>
        <v>#REF!</v>
      </c>
      <c r="BC8" t="e">
        <f>AND(#REF!,"AAAAAF6QfzY=")</f>
        <v>#REF!</v>
      </c>
      <c r="BD8" t="e">
        <f>AND(#REF!,"AAAAAF6Qfzc=")</f>
        <v>#REF!</v>
      </c>
      <c r="BE8" t="e">
        <f>AND(#REF!,"AAAAAF6Qfzg=")</f>
        <v>#REF!</v>
      </c>
      <c r="BF8" t="e">
        <f>AND(#REF!,"AAAAAF6Qfzk=")</f>
        <v>#REF!</v>
      </c>
      <c r="BG8" t="e">
        <f>AND(#REF!,"AAAAAF6Qfzo=")</f>
        <v>#REF!</v>
      </c>
      <c r="BH8" t="e">
        <f>AND(#REF!,"AAAAAF6Qfzs=")</f>
        <v>#REF!</v>
      </c>
      <c r="BI8" t="e">
        <f>AND(#REF!,"AAAAAF6Qfzw=")</f>
        <v>#REF!</v>
      </c>
      <c r="BJ8" t="e">
        <f>AND(#REF!,"AAAAAF6Qfz0=")</f>
        <v>#REF!</v>
      </c>
      <c r="BK8" t="e">
        <f>AND(#REF!,"AAAAAF6Qfz4=")</f>
        <v>#REF!</v>
      </c>
      <c r="BL8" t="e">
        <f>AND(#REF!,"AAAAAF6Qfz8=")</f>
        <v>#REF!</v>
      </c>
      <c r="BM8" t="e">
        <f>AND(#REF!,"AAAAAF6Qf0A=")</f>
        <v>#REF!</v>
      </c>
      <c r="BN8" t="e">
        <f>AND(#REF!,"AAAAAF6Qf0E=")</f>
        <v>#REF!</v>
      </c>
      <c r="BO8" t="e">
        <f>AND(#REF!,"AAAAAF6Qf0I=")</f>
        <v>#REF!</v>
      </c>
      <c r="BP8" t="e">
        <f>AND(#REF!,"AAAAAF6Qf0M=")</f>
        <v>#REF!</v>
      </c>
      <c r="BQ8" t="e">
        <f>AND(#REF!,"AAAAAF6Qf0Q=")</f>
        <v>#REF!</v>
      </c>
      <c r="BR8" t="e">
        <f>AND(#REF!,"AAAAAF6Qf0U=")</f>
        <v>#REF!</v>
      </c>
      <c r="BS8" t="e">
        <f>AND(#REF!,"AAAAAF6Qf0Y=")</f>
        <v>#REF!</v>
      </c>
      <c r="BT8" t="e">
        <f>AND(#REF!,"AAAAAF6Qf0c=")</f>
        <v>#REF!</v>
      </c>
      <c r="BU8" t="e">
        <f>AND(#REF!,"AAAAAF6Qf0g=")</f>
        <v>#REF!</v>
      </c>
      <c r="BV8" t="e">
        <f>IF(#REF!,"AAAAAF6Qf0k=",0)</f>
        <v>#REF!</v>
      </c>
      <c r="BW8" t="e">
        <f>AND(#REF!,"AAAAAF6Qf0o=")</f>
        <v>#REF!</v>
      </c>
      <c r="BX8" t="e">
        <f>AND(#REF!,"AAAAAF6Qf0s=")</f>
        <v>#REF!</v>
      </c>
      <c r="BY8" t="e">
        <f>AND(#REF!,"AAAAAF6Qf0w=")</f>
        <v>#REF!</v>
      </c>
      <c r="BZ8" t="e">
        <f>AND(#REF!,"AAAAAF6Qf00=")</f>
        <v>#REF!</v>
      </c>
      <c r="CA8" t="e">
        <f>AND(#REF!,"AAAAAF6Qf04=")</f>
        <v>#REF!</v>
      </c>
      <c r="CB8" t="e">
        <f>AND(#REF!,"AAAAAF6Qf08=")</f>
        <v>#REF!</v>
      </c>
      <c r="CC8" t="e">
        <f>AND(#REF!,"AAAAAF6Qf1A=")</f>
        <v>#REF!</v>
      </c>
      <c r="CD8" t="e">
        <f>AND(#REF!,"AAAAAF6Qf1E=")</f>
        <v>#REF!</v>
      </c>
      <c r="CE8" t="e">
        <f>AND(#REF!,"AAAAAF6Qf1I=")</f>
        <v>#REF!</v>
      </c>
      <c r="CF8" t="e">
        <f>AND(#REF!,"AAAAAF6Qf1M=")</f>
        <v>#REF!</v>
      </c>
      <c r="CG8" t="e">
        <f>AND(#REF!,"AAAAAF6Qf1Q=")</f>
        <v>#REF!</v>
      </c>
      <c r="CH8" t="e">
        <f>AND(#REF!,"AAAAAF6Qf1U=")</f>
        <v>#REF!</v>
      </c>
      <c r="CI8" t="e">
        <f>AND(#REF!,"AAAAAF6Qf1Y=")</f>
        <v>#REF!</v>
      </c>
      <c r="CJ8" t="e">
        <f>AND(#REF!,"AAAAAF6Qf1c=")</f>
        <v>#REF!</v>
      </c>
      <c r="CK8" t="e">
        <f>AND(#REF!,"AAAAAF6Qf1g=")</f>
        <v>#REF!</v>
      </c>
      <c r="CL8" t="e">
        <f>AND(#REF!,"AAAAAF6Qf1k=")</f>
        <v>#REF!</v>
      </c>
      <c r="CM8" t="e">
        <f>AND(#REF!,"AAAAAF6Qf1o=")</f>
        <v>#REF!</v>
      </c>
      <c r="CN8" t="e">
        <f>AND(#REF!,"AAAAAF6Qf1s=")</f>
        <v>#REF!</v>
      </c>
      <c r="CO8" t="e">
        <f>AND(#REF!,"AAAAAF6Qf1w=")</f>
        <v>#REF!</v>
      </c>
      <c r="CP8" t="e">
        <f>AND(#REF!,"AAAAAF6Qf10=")</f>
        <v>#REF!</v>
      </c>
      <c r="CQ8" t="e">
        <f>AND(#REF!,"AAAAAF6Qf14=")</f>
        <v>#REF!</v>
      </c>
      <c r="CR8" t="e">
        <f>IF(#REF!,"AAAAAF6Qf18=",0)</f>
        <v>#REF!</v>
      </c>
      <c r="CS8" t="e">
        <f>AND(#REF!,"AAAAAF6Qf2A=")</f>
        <v>#REF!</v>
      </c>
      <c r="CT8" t="e">
        <f>AND(#REF!,"AAAAAF6Qf2E=")</f>
        <v>#REF!</v>
      </c>
      <c r="CU8" t="e">
        <f>AND(#REF!,"AAAAAF6Qf2I=")</f>
        <v>#REF!</v>
      </c>
      <c r="CV8" t="e">
        <f>AND(#REF!,"AAAAAF6Qf2M=")</f>
        <v>#REF!</v>
      </c>
      <c r="CW8" t="e">
        <f>AND(#REF!,"AAAAAF6Qf2Q=")</f>
        <v>#REF!</v>
      </c>
      <c r="CX8" t="e">
        <f>AND(#REF!,"AAAAAF6Qf2U=")</f>
        <v>#REF!</v>
      </c>
      <c r="CY8" t="e">
        <f>AND(#REF!,"AAAAAF6Qf2Y=")</f>
        <v>#REF!</v>
      </c>
      <c r="CZ8" t="e">
        <f>AND(#REF!,"AAAAAF6Qf2c=")</f>
        <v>#REF!</v>
      </c>
      <c r="DA8" t="e">
        <f>AND(#REF!,"AAAAAF6Qf2g=")</f>
        <v>#REF!</v>
      </c>
      <c r="DB8" t="e">
        <f>AND(#REF!,"AAAAAF6Qf2k=")</f>
        <v>#REF!</v>
      </c>
      <c r="DC8" t="e">
        <f>AND(#REF!,"AAAAAF6Qf2o=")</f>
        <v>#REF!</v>
      </c>
      <c r="DD8" t="e">
        <f>AND(#REF!,"AAAAAF6Qf2s=")</f>
        <v>#REF!</v>
      </c>
      <c r="DE8" t="e">
        <f>AND(#REF!,"AAAAAF6Qf2w=")</f>
        <v>#REF!</v>
      </c>
      <c r="DF8" t="e">
        <f>AND(#REF!,"AAAAAF6Qf20=")</f>
        <v>#REF!</v>
      </c>
      <c r="DG8" t="e">
        <f>AND(#REF!,"AAAAAF6Qf24=")</f>
        <v>#REF!</v>
      </c>
      <c r="DH8" t="e">
        <f>AND(#REF!,"AAAAAF6Qf28=")</f>
        <v>#REF!</v>
      </c>
      <c r="DI8" t="e">
        <f>AND(#REF!,"AAAAAF6Qf3A=")</f>
        <v>#REF!</v>
      </c>
      <c r="DJ8" t="e">
        <f>AND(#REF!,"AAAAAF6Qf3E=")</f>
        <v>#REF!</v>
      </c>
      <c r="DK8" t="e">
        <f>AND(#REF!,"AAAAAF6Qf3I=")</f>
        <v>#REF!</v>
      </c>
      <c r="DL8" t="e">
        <f>AND(#REF!,"AAAAAF6Qf3M=")</f>
        <v>#REF!</v>
      </c>
      <c r="DM8" t="e">
        <f>AND(#REF!,"AAAAAF6Qf3Q=")</f>
        <v>#REF!</v>
      </c>
      <c r="DN8" t="e">
        <f>IF(#REF!,"AAAAAF6Qf3U=",0)</f>
        <v>#REF!</v>
      </c>
      <c r="DO8" t="e">
        <f>AND(#REF!,"AAAAAF6Qf3Y=")</f>
        <v>#REF!</v>
      </c>
      <c r="DP8" t="e">
        <f>AND(#REF!,"AAAAAF6Qf3c=")</f>
        <v>#REF!</v>
      </c>
      <c r="DQ8" t="e">
        <f>AND(#REF!,"AAAAAF6Qf3g=")</f>
        <v>#REF!</v>
      </c>
      <c r="DR8" t="e">
        <f>AND(#REF!,"AAAAAF6Qf3k=")</f>
        <v>#REF!</v>
      </c>
      <c r="DS8" t="e">
        <f>AND(#REF!,"AAAAAF6Qf3o=")</f>
        <v>#REF!</v>
      </c>
      <c r="DT8" t="e">
        <f>AND(#REF!,"AAAAAF6Qf3s=")</f>
        <v>#REF!</v>
      </c>
      <c r="DU8" t="e">
        <f>AND(#REF!,"AAAAAF6Qf3w=")</f>
        <v>#REF!</v>
      </c>
      <c r="DV8" t="e">
        <f>AND(#REF!,"AAAAAF6Qf30=")</f>
        <v>#REF!</v>
      </c>
      <c r="DW8" t="e">
        <f>AND(#REF!,"AAAAAF6Qf34=")</f>
        <v>#REF!</v>
      </c>
      <c r="DX8" t="e">
        <f>AND(#REF!,"AAAAAF6Qf38=")</f>
        <v>#REF!</v>
      </c>
      <c r="DY8" t="e">
        <f>AND(#REF!,"AAAAAF6Qf4A=")</f>
        <v>#REF!</v>
      </c>
      <c r="DZ8" t="e">
        <f>AND(#REF!,"AAAAAF6Qf4E=")</f>
        <v>#REF!</v>
      </c>
      <c r="EA8" t="e">
        <f>AND(#REF!,"AAAAAF6Qf4I=")</f>
        <v>#REF!</v>
      </c>
      <c r="EB8" t="e">
        <f>AND(#REF!,"AAAAAF6Qf4M=")</f>
        <v>#REF!</v>
      </c>
      <c r="EC8" t="e">
        <f>AND(#REF!,"AAAAAF6Qf4Q=")</f>
        <v>#REF!</v>
      </c>
      <c r="ED8" t="e">
        <f>AND(#REF!,"AAAAAF6Qf4U=")</f>
        <v>#REF!</v>
      </c>
      <c r="EE8" t="e">
        <f>AND(#REF!,"AAAAAF6Qf4Y=")</f>
        <v>#REF!</v>
      </c>
      <c r="EF8" t="e">
        <f>AND(#REF!,"AAAAAF6Qf4c=")</f>
        <v>#REF!</v>
      </c>
      <c r="EG8" t="e">
        <f>AND(#REF!,"AAAAAF6Qf4g=")</f>
        <v>#REF!</v>
      </c>
      <c r="EH8" t="e">
        <f>AND(#REF!,"AAAAAF6Qf4k=")</f>
        <v>#REF!</v>
      </c>
      <c r="EI8" t="e">
        <f>AND(#REF!,"AAAAAF6Qf4o=")</f>
        <v>#REF!</v>
      </c>
      <c r="EJ8" t="e">
        <f>IF(#REF!,"AAAAAF6Qf4s=",0)</f>
        <v>#REF!</v>
      </c>
      <c r="EK8" t="e">
        <f>AND(#REF!,"AAAAAF6Qf4w=")</f>
        <v>#REF!</v>
      </c>
      <c r="EL8" t="e">
        <f>AND(#REF!,"AAAAAF6Qf40=")</f>
        <v>#REF!</v>
      </c>
      <c r="EM8" t="e">
        <f>AND(#REF!,"AAAAAF6Qf44=")</f>
        <v>#REF!</v>
      </c>
      <c r="EN8" t="e">
        <f>AND(#REF!,"AAAAAF6Qf48=")</f>
        <v>#REF!</v>
      </c>
      <c r="EO8" t="e">
        <f>AND(#REF!,"AAAAAF6Qf5A=")</f>
        <v>#REF!</v>
      </c>
      <c r="EP8" t="e">
        <f>AND(#REF!,"AAAAAF6Qf5E=")</f>
        <v>#REF!</v>
      </c>
      <c r="EQ8" t="e">
        <f>AND(#REF!,"AAAAAF6Qf5I=")</f>
        <v>#REF!</v>
      </c>
      <c r="ER8" t="e">
        <f>AND(#REF!,"AAAAAF6Qf5M=")</f>
        <v>#REF!</v>
      </c>
      <c r="ES8" t="e">
        <f>AND(#REF!,"AAAAAF6Qf5Q=")</f>
        <v>#REF!</v>
      </c>
      <c r="ET8" t="e">
        <f>AND(#REF!,"AAAAAF6Qf5U=")</f>
        <v>#REF!</v>
      </c>
      <c r="EU8" t="e">
        <f>AND(#REF!,"AAAAAF6Qf5Y=")</f>
        <v>#REF!</v>
      </c>
      <c r="EV8" t="e">
        <f>AND(#REF!,"AAAAAF6Qf5c=")</f>
        <v>#REF!</v>
      </c>
      <c r="EW8" t="e">
        <f>AND(#REF!,"AAAAAF6Qf5g=")</f>
        <v>#REF!</v>
      </c>
      <c r="EX8" t="e">
        <f>AND(#REF!,"AAAAAF6Qf5k=")</f>
        <v>#REF!</v>
      </c>
      <c r="EY8" t="e">
        <f>AND(#REF!,"AAAAAF6Qf5o=")</f>
        <v>#REF!</v>
      </c>
      <c r="EZ8" t="e">
        <f>AND(#REF!,"AAAAAF6Qf5s=")</f>
        <v>#REF!</v>
      </c>
      <c r="FA8" t="e">
        <f>AND(#REF!,"AAAAAF6Qf5w=")</f>
        <v>#REF!</v>
      </c>
      <c r="FB8" t="e">
        <f>AND(#REF!,"AAAAAF6Qf50=")</f>
        <v>#REF!</v>
      </c>
      <c r="FC8" t="e">
        <f>AND(#REF!,"AAAAAF6Qf54=")</f>
        <v>#REF!</v>
      </c>
      <c r="FD8" t="e">
        <f>AND(#REF!,"AAAAAF6Qf58=")</f>
        <v>#REF!</v>
      </c>
      <c r="FE8" t="e">
        <f>AND(#REF!,"AAAAAF6Qf6A=")</f>
        <v>#REF!</v>
      </c>
      <c r="FF8" t="e">
        <f>IF(#REF!,"AAAAAF6Qf6E=",0)</f>
        <v>#REF!</v>
      </c>
      <c r="FG8" t="e">
        <f>AND(#REF!,"AAAAAF6Qf6I=")</f>
        <v>#REF!</v>
      </c>
      <c r="FH8" t="e">
        <f>AND(#REF!,"AAAAAF6Qf6M=")</f>
        <v>#REF!</v>
      </c>
      <c r="FI8" t="e">
        <f>AND(#REF!,"AAAAAF6Qf6Q=")</f>
        <v>#REF!</v>
      </c>
      <c r="FJ8" t="e">
        <f>AND(#REF!,"AAAAAF6Qf6U=")</f>
        <v>#REF!</v>
      </c>
      <c r="FK8" t="e">
        <f>AND(#REF!,"AAAAAF6Qf6Y=")</f>
        <v>#REF!</v>
      </c>
      <c r="FL8" t="e">
        <f>AND(#REF!,"AAAAAF6Qf6c=")</f>
        <v>#REF!</v>
      </c>
      <c r="FM8" t="e">
        <f>AND(#REF!,"AAAAAF6Qf6g=")</f>
        <v>#REF!</v>
      </c>
      <c r="FN8" t="e">
        <f>AND(#REF!,"AAAAAF6Qf6k=")</f>
        <v>#REF!</v>
      </c>
      <c r="FO8" t="e">
        <f>AND(#REF!,"AAAAAF6Qf6o=")</f>
        <v>#REF!</v>
      </c>
      <c r="FP8" t="e">
        <f>AND(#REF!,"AAAAAF6Qf6s=")</f>
        <v>#REF!</v>
      </c>
      <c r="FQ8" t="e">
        <f>AND(#REF!,"AAAAAF6Qf6w=")</f>
        <v>#REF!</v>
      </c>
      <c r="FR8" t="e">
        <f>AND(#REF!,"AAAAAF6Qf60=")</f>
        <v>#REF!</v>
      </c>
      <c r="FS8" t="e">
        <f>AND(#REF!,"AAAAAF6Qf64=")</f>
        <v>#REF!</v>
      </c>
      <c r="FT8" t="e">
        <f>AND(#REF!,"AAAAAF6Qf68=")</f>
        <v>#REF!</v>
      </c>
      <c r="FU8" t="e">
        <f>AND(#REF!,"AAAAAF6Qf7A=")</f>
        <v>#REF!</v>
      </c>
      <c r="FV8" t="e">
        <f>AND(#REF!,"AAAAAF6Qf7E=")</f>
        <v>#REF!</v>
      </c>
      <c r="FW8" t="e">
        <f>AND(#REF!,"AAAAAF6Qf7I=")</f>
        <v>#REF!</v>
      </c>
      <c r="FX8" t="e">
        <f>AND(#REF!,"AAAAAF6Qf7M=")</f>
        <v>#REF!</v>
      </c>
      <c r="FY8" t="e">
        <f>AND(#REF!,"AAAAAF6Qf7Q=")</f>
        <v>#REF!</v>
      </c>
      <c r="FZ8" t="e">
        <f>AND(#REF!,"AAAAAF6Qf7U=")</f>
        <v>#REF!</v>
      </c>
      <c r="GA8" t="e">
        <f>AND(#REF!,"AAAAAF6Qf7Y=")</f>
        <v>#REF!</v>
      </c>
      <c r="GB8" t="e">
        <f>IF(#REF!,"AAAAAF6Qf7c=",0)</f>
        <v>#REF!</v>
      </c>
      <c r="GC8" t="e">
        <f>AND(#REF!,"AAAAAF6Qf7g=")</f>
        <v>#REF!</v>
      </c>
      <c r="GD8" t="e">
        <f>AND(#REF!,"AAAAAF6Qf7k=")</f>
        <v>#REF!</v>
      </c>
      <c r="GE8" t="e">
        <f>AND(#REF!,"AAAAAF6Qf7o=")</f>
        <v>#REF!</v>
      </c>
      <c r="GF8" t="e">
        <f>AND(#REF!,"AAAAAF6Qf7s=")</f>
        <v>#REF!</v>
      </c>
      <c r="GG8" t="e">
        <f>AND(#REF!,"AAAAAF6Qf7w=")</f>
        <v>#REF!</v>
      </c>
      <c r="GH8" t="e">
        <f>AND(#REF!,"AAAAAF6Qf70=")</f>
        <v>#REF!</v>
      </c>
      <c r="GI8" t="e">
        <f>AND(#REF!,"AAAAAF6Qf74=")</f>
        <v>#REF!</v>
      </c>
      <c r="GJ8" t="e">
        <f>AND(#REF!,"AAAAAF6Qf78=")</f>
        <v>#REF!</v>
      </c>
      <c r="GK8" t="e">
        <f>AND(#REF!,"AAAAAF6Qf8A=")</f>
        <v>#REF!</v>
      </c>
      <c r="GL8" t="e">
        <f>AND(#REF!,"AAAAAF6Qf8E=")</f>
        <v>#REF!</v>
      </c>
      <c r="GM8" t="e">
        <f>AND(#REF!,"AAAAAF6Qf8I=")</f>
        <v>#REF!</v>
      </c>
      <c r="GN8" t="e">
        <f>AND(#REF!,"AAAAAF6Qf8M=")</f>
        <v>#REF!</v>
      </c>
      <c r="GO8" t="e">
        <f>AND(#REF!,"AAAAAF6Qf8Q=")</f>
        <v>#REF!</v>
      </c>
      <c r="GP8" t="e">
        <f>AND(#REF!,"AAAAAF6Qf8U=")</f>
        <v>#REF!</v>
      </c>
      <c r="GQ8" t="e">
        <f>AND(#REF!,"AAAAAF6Qf8Y=")</f>
        <v>#REF!</v>
      </c>
      <c r="GR8" t="e">
        <f>AND(#REF!,"AAAAAF6Qf8c=")</f>
        <v>#REF!</v>
      </c>
      <c r="GS8" t="e">
        <f>AND(#REF!,"AAAAAF6Qf8g=")</f>
        <v>#REF!</v>
      </c>
      <c r="GT8" t="e">
        <f>AND(#REF!,"AAAAAF6Qf8k=")</f>
        <v>#REF!</v>
      </c>
      <c r="GU8" t="e">
        <f>AND(#REF!,"AAAAAF6Qf8o=")</f>
        <v>#REF!</v>
      </c>
      <c r="GV8" t="e">
        <f>AND(#REF!,"AAAAAF6Qf8s=")</f>
        <v>#REF!</v>
      </c>
      <c r="GW8" t="e">
        <f>AND(#REF!,"AAAAAF6Qf8w=")</f>
        <v>#REF!</v>
      </c>
      <c r="GX8" t="e">
        <f>IF(#REF!,"AAAAAF6Qf80=",0)</f>
        <v>#REF!</v>
      </c>
      <c r="GY8" t="e">
        <f>AND(#REF!,"AAAAAF6Qf84=")</f>
        <v>#REF!</v>
      </c>
      <c r="GZ8" t="e">
        <f>AND(#REF!,"AAAAAF6Qf88=")</f>
        <v>#REF!</v>
      </c>
      <c r="HA8" t="e">
        <f>AND(#REF!,"AAAAAF6Qf9A=")</f>
        <v>#REF!</v>
      </c>
      <c r="HB8" t="e">
        <f>AND(#REF!,"AAAAAF6Qf9E=")</f>
        <v>#REF!</v>
      </c>
      <c r="HC8" t="e">
        <f>AND(#REF!,"AAAAAF6Qf9I=")</f>
        <v>#REF!</v>
      </c>
      <c r="HD8" t="e">
        <f>AND(#REF!,"AAAAAF6Qf9M=")</f>
        <v>#REF!</v>
      </c>
      <c r="HE8" t="e">
        <f>AND(#REF!,"AAAAAF6Qf9Q=")</f>
        <v>#REF!</v>
      </c>
      <c r="HF8" t="e">
        <f>AND(#REF!,"AAAAAF6Qf9U=")</f>
        <v>#REF!</v>
      </c>
      <c r="HG8" t="e">
        <f>AND(#REF!,"AAAAAF6Qf9Y=")</f>
        <v>#REF!</v>
      </c>
      <c r="HH8" t="e">
        <f>AND(#REF!,"AAAAAF6Qf9c=")</f>
        <v>#REF!</v>
      </c>
      <c r="HI8" t="e">
        <f>AND(#REF!,"AAAAAF6Qf9g=")</f>
        <v>#REF!</v>
      </c>
      <c r="HJ8" t="e">
        <f>AND(#REF!,"AAAAAF6Qf9k=")</f>
        <v>#REF!</v>
      </c>
      <c r="HK8" t="e">
        <f>AND(#REF!,"AAAAAF6Qf9o=")</f>
        <v>#REF!</v>
      </c>
      <c r="HL8" t="e">
        <f>AND(#REF!,"AAAAAF6Qf9s=")</f>
        <v>#REF!</v>
      </c>
      <c r="HM8" t="e">
        <f>AND(#REF!,"AAAAAF6Qf9w=")</f>
        <v>#REF!</v>
      </c>
      <c r="HN8" t="e">
        <f>AND(#REF!,"AAAAAF6Qf90=")</f>
        <v>#REF!</v>
      </c>
      <c r="HO8" t="e">
        <f>AND(#REF!,"AAAAAF6Qf94=")</f>
        <v>#REF!</v>
      </c>
      <c r="HP8" t="e">
        <f>AND(#REF!,"AAAAAF6Qf98=")</f>
        <v>#REF!</v>
      </c>
      <c r="HQ8" t="e">
        <f>AND(#REF!,"AAAAAF6Qf+A=")</f>
        <v>#REF!</v>
      </c>
      <c r="HR8" t="e">
        <f>AND(#REF!,"AAAAAF6Qf+E=")</f>
        <v>#REF!</v>
      </c>
      <c r="HS8" t="e">
        <f>AND(#REF!,"AAAAAF6Qf+I=")</f>
        <v>#REF!</v>
      </c>
      <c r="HT8" t="e">
        <f>IF(#REF!,"AAAAAF6Qf+M=",0)</f>
        <v>#REF!</v>
      </c>
      <c r="HU8" t="e">
        <f>AND(#REF!,"AAAAAF6Qf+Q=")</f>
        <v>#REF!</v>
      </c>
      <c r="HV8" t="e">
        <f>AND(#REF!,"AAAAAF6Qf+U=")</f>
        <v>#REF!</v>
      </c>
      <c r="HW8" t="e">
        <f>AND(#REF!,"AAAAAF6Qf+Y=")</f>
        <v>#REF!</v>
      </c>
      <c r="HX8" t="e">
        <f>AND(#REF!,"AAAAAF6Qf+c=")</f>
        <v>#REF!</v>
      </c>
      <c r="HY8" t="e">
        <f>AND(#REF!,"AAAAAF6Qf+g=")</f>
        <v>#REF!</v>
      </c>
      <c r="HZ8" t="e">
        <f>AND(#REF!,"AAAAAF6Qf+k=")</f>
        <v>#REF!</v>
      </c>
      <c r="IA8" t="e">
        <f>AND(#REF!,"AAAAAF6Qf+o=")</f>
        <v>#REF!</v>
      </c>
      <c r="IB8" t="e">
        <f>AND(#REF!,"AAAAAF6Qf+s=")</f>
        <v>#REF!</v>
      </c>
      <c r="IC8" t="e">
        <f>AND(#REF!,"AAAAAF6Qf+w=")</f>
        <v>#REF!</v>
      </c>
      <c r="ID8" t="e">
        <f>AND(#REF!,"AAAAAF6Qf+0=")</f>
        <v>#REF!</v>
      </c>
      <c r="IE8" t="e">
        <f>AND(#REF!,"AAAAAF6Qf+4=")</f>
        <v>#REF!</v>
      </c>
      <c r="IF8" t="e">
        <f>AND(#REF!,"AAAAAF6Qf+8=")</f>
        <v>#REF!</v>
      </c>
      <c r="IG8" t="e">
        <f>AND(#REF!,"AAAAAF6Qf/A=")</f>
        <v>#REF!</v>
      </c>
      <c r="IH8" t="e">
        <f>AND(#REF!,"AAAAAF6Qf/E=")</f>
        <v>#REF!</v>
      </c>
      <c r="II8" t="e">
        <f>AND(#REF!,"AAAAAF6Qf/I=")</f>
        <v>#REF!</v>
      </c>
      <c r="IJ8" t="e">
        <f>AND(#REF!,"AAAAAF6Qf/M=")</f>
        <v>#REF!</v>
      </c>
      <c r="IK8" t="e">
        <f>AND(#REF!,"AAAAAF6Qf/Q=")</f>
        <v>#REF!</v>
      </c>
      <c r="IL8" t="e">
        <f>AND(#REF!,"AAAAAF6Qf/U=")</f>
        <v>#REF!</v>
      </c>
      <c r="IM8" t="e">
        <f>AND(#REF!,"AAAAAF6Qf/Y=")</f>
        <v>#REF!</v>
      </c>
      <c r="IN8" t="e">
        <f>AND(#REF!,"AAAAAF6Qf/c=")</f>
        <v>#REF!</v>
      </c>
      <c r="IO8" t="e">
        <f>AND(#REF!,"AAAAAF6Qf/g=")</f>
        <v>#REF!</v>
      </c>
      <c r="IP8" t="e">
        <f>IF(#REF!,"AAAAAF6Qf/k=",0)</f>
        <v>#REF!</v>
      </c>
      <c r="IQ8" t="e">
        <f>AND(#REF!,"AAAAAF6Qf/o=")</f>
        <v>#REF!</v>
      </c>
      <c r="IR8" t="e">
        <f>AND(#REF!,"AAAAAF6Qf/s=")</f>
        <v>#REF!</v>
      </c>
      <c r="IS8" t="e">
        <f>AND(#REF!,"AAAAAF6Qf/w=")</f>
        <v>#REF!</v>
      </c>
      <c r="IT8" t="e">
        <f>AND(#REF!,"AAAAAF6Qf/0=")</f>
        <v>#REF!</v>
      </c>
      <c r="IU8" t="e">
        <f>AND(#REF!,"AAAAAF6Qf/4=")</f>
        <v>#REF!</v>
      </c>
      <c r="IV8" t="e">
        <f>AND(#REF!,"AAAAAF6Qf/8=")</f>
        <v>#REF!</v>
      </c>
    </row>
    <row r="9" spans="1:256" x14ac:dyDescent="0.35">
      <c r="A9" t="e">
        <f>AND(#REF!,"AAAAAH7fVQA=")</f>
        <v>#REF!</v>
      </c>
      <c r="B9" t="e">
        <f>AND(#REF!,"AAAAAH7fVQE=")</f>
        <v>#REF!</v>
      </c>
      <c r="C9" t="e">
        <f>AND(#REF!,"AAAAAH7fVQI=")</f>
        <v>#REF!</v>
      </c>
      <c r="D9" t="e">
        <f>AND(#REF!,"AAAAAH7fVQM=")</f>
        <v>#REF!</v>
      </c>
      <c r="E9" t="e">
        <f>AND(#REF!,"AAAAAH7fVQQ=")</f>
        <v>#REF!</v>
      </c>
      <c r="F9" t="e">
        <f>AND(#REF!,"AAAAAH7fVQU=")</f>
        <v>#REF!</v>
      </c>
      <c r="G9" t="e">
        <f>AND(#REF!,"AAAAAH7fVQY=")</f>
        <v>#REF!</v>
      </c>
      <c r="H9" t="e">
        <f>AND(#REF!,"AAAAAH7fVQc=")</f>
        <v>#REF!</v>
      </c>
      <c r="I9" t="e">
        <f>AND(#REF!,"AAAAAH7fVQg=")</f>
        <v>#REF!</v>
      </c>
      <c r="J9" t="e">
        <f>AND(#REF!,"AAAAAH7fVQk=")</f>
        <v>#REF!</v>
      </c>
      <c r="K9" t="e">
        <f>AND(#REF!,"AAAAAH7fVQo=")</f>
        <v>#REF!</v>
      </c>
      <c r="L9" t="e">
        <f>AND(#REF!,"AAAAAH7fVQs=")</f>
        <v>#REF!</v>
      </c>
      <c r="M9" t="e">
        <f>AND(#REF!,"AAAAAH7fVQw=")</f>
        <v>#REF!</v>
      </c>
      <c r="N9" t="e">
        <f>AND(#REF!,"AAAAAH7fVQ0=")</f>
        <v>#REF!</v>
      </c>
      <c r="O9" t="e">
        <f>AND(#REF!,"AAAAAH7fVQ4=")</f>
        <v>#REF!</v>
      </c>
      <c r="P9" t="e">
        <f>IF(#REF!,"AAAAAH7fVQ8=",0)</f>
        <v>#REF!</v>
      </c>
      <c r="Q9" t="e">
        <f>AND(#REF!,"AAAAAH7fVRA=")</f>
        <v>#REF!</v>
      </c>
      <c r="R9" t="e">
        <f>AND(#REF!,"AAAAAH7fVRE=")</f>
        <v>#REF!</v>
      </c>
      <c r="S9" t="e">
        <f>AND(#REF!,"AAAAAH7fVRI=")</f>
        <v>#REF!</v>
      </c>
      <c r="T9" t="e">
        <f>AND(#REF!,"AAAAAH7fVRM=")</f>
        <v>#REF!</v>
      </c>
      <c r="U9" t="e">
        <f>AND(#REF!,"AAAAAH7fVRQ=")</f>
        <v>#REF!</v>
      </c>
      <c r="V9" t="e">
        <f>AND(#REF!,"AAAAAH7fVRU=")</f>
        <v>#REF!</v>
      </c>
      <c r="W9" t="e">
        <f>AND(#REF!,"AAAAAH7fVRY=")</f>
        <v>#REF!</v>
      </c>
      <c r="X9" t="e">
        <f>AND(#REF!,"AAAAAH7fVRc=")</f>
        <v>#REF!</v>
      </c>
      <c r="Y9" t="e">
        <f>AND(#REF!,"AAAAAH7fVRg=")</f>
        <v>#REF!</v>
      </c>
      <c r="Z9" t="e">
        <f>AND(#REF!,"AAAAAH7fVRk=")</f>
        <v>#REF!</v>
      </c>
      <c r="AA9" t="e">
        <f>AND(#REF!,"AAAAAH7fVRo=")</f>
        <v>#REF!</v>
      </c>
      <c r="AB9" t="e">
        <f>AND(#REF!,"AAAAAH7fVRs=")</f>
        <v>#REF!</v>
      </c>
      <c r="AC9" t="e">
        <f>AND(#REF!,"AAAAAH7fVRw=")</f>
        <v>#REF!</v>
      </c>
      <c r="AD9" t="e">
        <f>AND(#REF!,"AAAAAH7fVR0=")</f>
        <v>#REF!</v>
      </c>
      <c r="AE9" t="e">
        <f>AND(#REF!,"AAAAAH7fVR4=")</f>
        <v>#REF!</v>
      </c>
      <c r="AF9" t="e">
        <f>AND(#REF!,"AAAAAH7fVR8=")</f>
        <v>#REF!</v>
      </c>
      <c r="AG9" t="e">
        <f>AND(#REF!,"AAAAAH7fVSA=")</f>
        <v>#REF!</v>
      </c>
      <c r="AH9" t="e">
        <f>AND(#REF!,"AAAAAH7fVSE=")</f>
        <v>#REF!</v>
      </c>
      <c r="AI9" t="e">
        <f>AND(#REF!,"AAAAAH7fVSI=")</f>
        <v>#REF!</v>
      </c>
      <c r="AJ9" t="e">
        <f>AND(#REF!,"AAAAAH7fVSM=")</f>
        <v>#REF!</v>
      </c>
      <c r="AK9" t="e">
        <f>AND(#REF!,"AAAAAH7fVSQ=")</f>
        <v>#REF!</v>
      </c>
      <c r="AL9" t="e">
        <f>IF(#REF!,"AAAAAH7fVSU=",0)</f>
        <v>#REF!</v>
      </c>
      <c r="AM9" t="e">
        <f>AND(#REF!,"AAAAAH7fVSY=")</f>
        <v>#REF!</v>
      </c>
      <c r="AN9" t="e">
        <f>AND(#REF!,"AAAAAH7fVSc=")</f>
        <v>#REF!</v>
      </c>
      <c r="AO9" t="e">
        <f>AND(#REF!,"AAAAAH7fVSg=")</f>
        <v>#REF!</v>
      </c>
      <c r="AP9" t="e">
        <f>AND(#REF!,"AAAAAH7fVSk=")</f>
        <v>#REF!</v>
      </c>
      <c r="AQ9" t="e">
        <f>AND(#REF!,"AAAAAH7fVSo=")</f>
        <v>#REF!</v>
      </c>
      <c r="AR9" t="e">
        <f>AND(#REF!,"AAAAAH7fVSs=")</f>
        <v>#REF!</v>
      </c>
      <c r="AS9" t="e">
        <f>AND(#REF!,"AAAAAH7fVSw=")</f>
        <v>#REF!</v>
      </c>
      <c r="AT9" t="e">
        <f>AND(#REF!,"AAAAAH7fVS0=")</f>
        <v>#REF!</v>
      </c>
      <c r="AU9" t="e">
        <f>AND(#REF!,"AAAAAH7fVS4=")</f>
        <v>#REF!</v>
      </c>
      <c r="AV9" t="e">
        <f>AND(#REF!,"AAAAAH7fVS8=")</f>
        <v>#REF!</v>
      </c>
      <c r="AW9" t="e">
        <f>AND(#REF!,"AAAAAH7fVTA=")</f>
        <v>#REF!</v>
      </c>
      <c r="AX9" t="e">
        <f>AND(#REF!,"AAAAAH7fVTE=")</f>
        <v>#REF!</v>
      </c>
      <c r="AY9" t="e">
        <f>AND(#REF!,"AAAAAH7fVTI=")</f>
        <v>#REF!</v>
      </c>
      <c r="AZ9" t="e">
        <f>AND(#REF!,"AAAAAH7fVTM=")</f>
        <v>#REF!</v>
      </c>
      <c r="BA9" t="e">
        <f>AND(#REF!,"AAAAAH7fVTQ=")</f>
        <v>#REF!</v>
      </c>
      <c r="BB9" t="e">
        <f>AND(#REF!,"AAAAAH7fVTU=")</f>
        <v>#REF!</v>
      </c>
      <c r="BC9" t="e">
        <f>AND(#REF!,"AAAAAH7fVTY=")</f>
        <v>#REF!</v>
      </c>
      <c r="BD9" t="e">
        <f>AND(#REF!,"AAAAAH7fVTc=")</f>
        <v>#REF!</v>
      </c>
      <c r="BE9" t="e">
        <f>AND(#REF!,"AAAAAH7fVTg=")</f>
        <v>#REF!</v>
      </c>
      <c r="BF9" t="e">
        <f>AND(#REF!,"AAAAAH7fVTk=")</f>
        <v>#REF!</v>
      </c>
      <c r="BG9" t="e">
        <f>AND(#REF!,"AAAAAH7fVTo=")</f>
        <v>#REF!</v>
      </c>
      <c r="BH9" t="e">
        <f>IF(#REF!,"AAAAAH7fVTs=",0)</f>
        <v>#REF!</v>
      </c>
      <c r="BI9" t="e">
        <f>AND(#REF!,"AAAAAH7fVTw=")</f>
        <v>#REF!</v>
      </c>
      <c r="BJ9" t="e">
        <f>AND(#REF!,"AAAAAH7fVT0=")</f>
        <v>#REF!</v>
      </c>
      <c r="BK9" t="e">
        <f>AND(#REF!,"AAAAAH7fVT4=")</f>
        <v>#REF!</v>
      </c>
      <c r="BL9" t="e">
        <f>AND(#REF!,"AAAAAH7fVT8=")</f>
        <v>#REF!</v>
      </c>
      <c r="BM9" t="e">
        <f>AND(#REF!,"AAAAAH7fVUA=")</f>
        <v>#REF!</v>
      </c>
      <c r="BN9" t="e">
        <f>AND(#REF!,"AAAAAH7fVUE=")</f>
        <v>#REF!</v>
      </c>
      <c r="BO9" t="e">
        <f>AND(#REF!,"AAAAAH7fVUI=")</f>
        <v>#REF!</v>
      </c>
      <c r="BP9" t="e">
        <f>AND(#REF!,"AAAAAH7fVUM=")</f>
        <v>#REF!</v>
      </c>
      <c r="BQ9" t="e">
        <f>AND(#REF!,"AAAAAH7fVUQ=")</f>
        <v>#REF!</v>
      </c>
      <c r="BR9" t="e">
        <f>AND(#REF!,"AAAAAH7fVUU=")</f>
        <v>#REF!</v>
      </c>
      <c r="BS9" t="e">
        <f>AND(#REF!,"AAAAAH7fVUY=")</f>
        <v>#REF!</v>
      </c>
      <c r="BT9" t="e">
        <f>AND(#REF!,"AAAAAH7fVUc=")</f>
        <v>#REF!</v>
      </c>
      <c r="BU9" t="e">
        <f>AND(#REF!,"AAAAAH7fVUg=")</f>
        <v>#REF!</v>
      </c>
      <c r="BV9" t="e">
        <f>AND(#REF!,"AAAAAH7fVUk=")</f>
        <v>#REF!</v>
      </c>
      <c r="BW9" t="e">
        <f>AND(#REF!,"AAAAAH7fVUo=")</f>
        <v>#REF!</v>
      </c>
      <c r="BX9" t="e">
        <f>AND(#REF!,"AAAAAH7fVUs=")</f>
        <v>#REF!</v>
      </c>
      <c r="BY9" t="e">
        <f>AND(#REF!,"AAAAAH7fVUw=")</f>
        <v>#REF!</v>
      </c>
      <c r="BZ9" t="e">
        <f>AND(#REF!,"AAAAAH7fVU0=")</f>
        <v>#REF!</v>
      </c>
      <c r="CA9" t="e">
        <f>AND(#REF!,"AAAAAH7fVU4=")</f>
        <v>#REF!</v>
      </c>
      <c r="CB9" t="e">
        <f>AND(#REF!,"AAAAAH7fVU8=")</f>
        <v>#REF!</v>
      </c>
      <c r="CC9" t="e">
        <f>AND(#REF!,"AAAAAH7fVVA=")</f>
        <v>#REF!</v>
      </c>
      <c r="CD9" t="e">
        <f>IF(#REF!,"AAAAAH7fVVE=",0)</f>
        <v>#REF!</v>
      </c>
      <c r="CE9" t="e">
        <f>AND(#REF!,"AAAAAH7fVVI=")</f>
        <v>#REF!</v>
      </c>
      <c r="CF9" t="e">
        <f>AND(#REF!,"AAAAAH7fVVM=")</f>
        <v>#REF!</v>
      </c>
      <c r="CG9" t="e">
        <f>AND(#REF!,"AAAAAH7fVVQ=")</f>
        <v>#REF!</v>
      </c>
      <c r="CH9" t="e">
        <f>AND(#REF!,"AAAAAH7fVVU=")</f>
        <v>#REF!</v>
      </c>
      <c r="CI9" t="e">
        <f>AND(#REF!,"AAAAAH7fVVY=")</f>
        <v>#REF!</v>
      </c>
      <c r="CJ9" t="e">
        <f>AND(#REF!,"AAAAAH7fVVc=")</f>
        <v>#REF!</v>
      </c>
      <c r="CK9" t="e">
        <f>AND(#REF!,"AAAAAH7fVVg=")</f>
        <v>#REF!</v>
      </c>
      <c r="CL9" t="e">
        <f>AND(#REF!,"AAAAAH7fVVk=")</f>
        <v>#REF!</v>
      </c>
      <c r="CM9" t="e">
        <f>AND(#REF!,"AAAAAH7fVVo=")</f>
        <v>#REF!</v>
      </c>
      <c r="CN9" t="e">
        <f>AND(#REF!,"AAAAAH7fVVs=")</f>
        <v>#REF!</v>
      </c>
      <c r="CO9" t="e">
        <f>AND(#REF!,"AAAAAH7fVVw=")</f>
        <v>#REF!</v>
      </c>
      <c r="CP9" t="e">
        <f>AND(#REF!,"AAAAAH7fVV0=")</f>
        <v>#REF!</v>
      </c>
      <c r="CQ9" t="e">
        <f>AND(#REF!,"AAAAAH7fVV4=")</f>
        <v>#REF!</v>
      </c>
      <c r="CR9" t="e">
        <f>AND(#REF!,"AAAAAH7fVV8=")</f>
        <v>#REF!</v>
      </c>
      <c r="CS9" t="e">
        <f>AND(#REF!,"AAAAAH7fVWA=")</f>
        <v>#REF!</v>
      </c>
      <c r="CT9" t="e">
        <f>AND(#REF!,"AAAAAH7fVWE=")</f>
        <v>#REF!</v>
      </c>
      <c r="CU9" t="e">
        <f>AND(#REF!,"AAAAAH7fVWI=")</f>
        <v>#REF!</v>
      </c>
      <c r="CV9" t="e">
        <f>AND(#REF!,"AAAAAH7fVWM=")</f>
        <v>#REF!</v>
      </c>
      <c r="CW9" t="e">
        <f>AND(#REF!,"AAAAAH7fVWQ=")</f>
        <v>#REF!</v>
      </c>
      <c r="CX9" t="e">
        <f>AND(#REF!,"AAAAAH7fVWU=")</f>
        <v>#REF!</v>
      </c>
      <c r="CY9" t="e">
        <f>AND(#REF!,"AAAAAH7fVWY=")</f>
        <v>#REF!</v>
      </c>
      <c r="CZ9" t="e">
        <f>IF(#REF!,"AAAAAH7fVWc=",0)</f>
        <v>#REF!</v>
      </c>
      <c r="DA9" t="e">
        <f>AND(#REF!,"AAAAAH7fVWg=")</f>
        <v>#REF!</v>
      </c>
      <c r="DB9" t="e">
        <f>AND(#REF!,"AAAAAH7fVWk=")</f>
        <v>#REF!</v>
      </c>
      <c r="DC9" t="e">
        <f>AND(#REF!,"AAAAAH7fVWo=")</f>
        <v>#REF!</v>
      </c>
      <c r="DD9" t="e">
        <f>AND(#REF!,"AAAAAH7fVWs=")</f>
        <v>#REF!</v>
      </c>
      <c r="DE9" t="e">
        <f>AND(#REF!,"AAAAAH7fVWw=")</f>
        <v>#REF!</v>
      </c>
      <c r="DF9" t="e">
        <f>AND(#REF!,"AAAAAH7fVW0=")</f>
        <v>#REF!</v>
      </c>
      <c r="DG9" t="e">
        <f>AND(#REF!,"AAAAAH7fVW4=")</f>
        <v>#REF!</v>
      </c>
      <c r="DH9" t="e">
        <f>AND(#REF!,"AAAAAH7fVW8=")</f>
        <v>#REF!</v>
      </c>
      <c r="DI9" t="e">
        <f>AND(#REF!,"AAAAAH7fVXA=")</f>
        <v>#REF!</v>
      </c>
      <c r="DJ9" t="e">
        <f>AND(#REF!,"AAAAAH7fVXE=")</f>
        <v>#REF!</v>
      </c>
      <c r="DK9" t="e">
        <f>AND(#REF!,"AAAAAH7fVXI=")</f>
        <v>#REF!</v>
      </c>
      <c r="DL9" t="e">
        <f>AND(#REF!,"AAAAAH7fVXM=")</f>
        <v>#REF!</v>
      </c>
      <c r="DM9" t="e">
        <f>AND(#REF!,"AAAAAH7fVXQ=")</f>
        <v>#REF!</v>
      </c>
      <c r="DN9" t="e">
        <f>AND(#REF!,"AAAAAH7fVXU=")</f>
        <v>#REF!</v>
      </c>
      <c r="DO9" t="e">
        <f>AND(#REF!,"AAAAAH7fVXY=")</f>
        <v>#REF!</v>
      </c>
      <c r="DP9" t="e">
        <f>AND(#REF!,"AAAAAH7fVXc=")</f>
        <v>#REF!</v>
      </c>
      <c r="DQ9" t="e">
        <f>AND(#REF!,"AAAAAH7fVXg=")</f>
        <v>#REF!</v>
      </c>
      <c r="DR9" t="e">
        <f>AND(#REF!,"AAAAAH7fVXk=")</f>
        <v>#REF!</v>
      </c>
      <c r="DS9" t="e">
        <f>AND(#REF!,"AAAAAH7fVXo=")</f>
        <v>#REF!</v>
      </c>
      <c r="DT9" t="e">
        <f>AND(#REF!,"AAAAAH7fVXs=")</f>
        <v>#REF!</v>
      </c>
      <c r="DU9" t="e">
        <f>AND(#REF!,"AAAAAH7fVXw=")</f>
        <v>#REF!</v>
      </c>
      <c r="DV9" t="e">
        <f>IF(#REF!,"AAAAAH7fVX0=",0)</f>
        <v>#REF!</v>
      </c>
      <c r="DW9" t="e">
        <f>AND(#REF!,"AAAAAH7fVX4=")</f>
        <v>#REF!</v>
      </c>
      <c r="DX9" t="e">
        <f>AND(#REF!,"AAAAAH7fVX8=")</f>
        <v>#REF!</v>
      </c>
      <c r="DY9" t="e">
        <f>AND(#REF!,"AAAAAH7fVYA=")</f>
        <v>#REF!</v>
      </c>
      <c r="DZ9" t="e">
        <f>AND(#REF!,"AAAAAH7fVYE=")</f>
        <v>#REF!</v>
      </c>
      <c r="EA9" t="e">
        <f>AND(#REF!,"AAAAAH7fVYI=")</f>
        <v>#REF!</v>
      </c>
      <c r="EB9" t="e">
        <f>AND(#REF!,"AAAAAH7fVYM=")</f>
        <v>#REF!</v>
      </c>
      <c r="EC9" t="e">
        <f>AND(#REF!,"AAAAAH7fVYQ=")</f>
        <v>#REF!</v>
      </c>
      <c r="ED9" t="e">
        <f>AND(#REF!,"AAAAAH7fVYU=")</f>
        <v>#REF!</v>
      </c>
      <c r="EE9" t="e">
        <f>AND(#REF!,"AAAAAH7fVYY=")</f>
        <v>#REF!</v>
      </c>
      <c r="EF9" t="e">
        <f>AND(#REF!,"AAAAAH7fVYc=")</f>
        <v>#REF!</v>
      </c>
      <c r="EG9" t="e">
        <f>AND(#REF!,"AAAAAH7fVYg=")</f>
        <v>#REF!</v>
      </c>
      <c r="EH9" t="e">
        <f>AND(#REF!,"AAAAAH7fVYk=")</f>
        <v>#REF!</v>
      </c>
      <c r="EI9" t="e">
        <f>AND(#REF!,"AAAAAH7fVYo=")</f>
        <v>#REF!</v>
      </c>
      <c r="EJ9" t="e">
        <f>AND(#REF!,"AAAAAH7fVYs=")</f>
        <v>#REF!</v>
      </c>
      <c r="EK9" t="e">
        <f>AND(#REF!,"AAAAAH7fVYw=")</f>
        <v>#REF!</v>
      </c>
      <c r="EL9" t="e">
        <f>AND(#REF!,"AAAAAH7fVY0=")</f>
        <v>#REF!</v>
      </c>
      <c r="EM9" t="e">
        <f>AND(#REF!,"AAAAAH7fVY4=")</f>
        <v>#REF!</v>
      </c>
      <c r="EN9" t="e">
        <f>AND(#REF!,"AAAAAH7fVY8=")</f>
        <v>#REF!</v>
      </c>
      <c r="EO9" t="e">
        <f>AND(#REF!,"AAAAAH7fVZA=")</f>
        <v>#REF!</v>
      </c>
      <c r="EP9" t="e">
        <f>AND(#REF!,"AAAAAH7fVZE=")</f>
        <v>#REF!</v>
      </c>
      <c r="EQ9" t="e">
        <f>AND(#REF!,"AAAAAH7fVZI=")</f>
        <v>#REF!</v>
      </c>
      <c r="ER9" t="e">
        <f>IF(#REF!,"AAAAAH7fVZM=",0)</f>
        <v>#REF!</v>
      </c>
      <c r="ES9" t="e">
        <f>AND(#REF!,"AAAAAH7fVZQ=")</f>
        <v>#REF!</v>
      </c>
      <c r="ET9" t="e">
        <f>AND(#REF!,"AAAAAH7fVZU=")</f>
        <v>#REF!</v>
      </c>
      <c r="EU9" t="e">
        <f>AND(#REF!,"AAAAAH7fVZY=")</f>
        <v>#REF!</v>
      </c>
      <c r="EV9" t="e">
        <f>AND(#REF!,"AAAAAH7fVZc=")</f>
        <v>#REF!</v>
      </c>
      <c r="EW9" t="e">
        <f>AND(#REF!,"AAAAAH7fVZg=")</f>
        <v>#REF!</v>
      </c>
      <c r="EX9" t="e">
        <f>AND(#REF!,"AAAAAH7fVZk=")</f>
        <v>#REF!</v>
      </c>
      <c r="EY9" t="e">
        <f>AND(#REF!,"AAAAAH7fVZo=")</f>
        <v>#REF!</v>
      </c>
      <c r="EZ9" t="e">
        <f>AND(#REF!,"AAAAAH7fVZs=")</f>
        <v>#REF!</v>
      </c>
      <c r="FA9" t="e">
        <f>AND(#REF!,"AAAAAH7fVZw=")</f>
        <v>#REF!</v>
      </c>
      <c r="FB9" t="e">
        <f>AND(#REF!,"AAAAAH7fVZ0=")</f>
        <v>#REF!</v>
      </c>
      <c r="FC9" t="e">
        <f>AND(#REF!,"AAAAAH7fVZ4=")</f>
        <v>#REF!</v>
      </c>
      <c r="FD9" t="e">
        <f>AND(#REF!,"AAAAAH7fVZ8=")</f>
        <v>#REF!</v>
      </c>
      <c r="FE9" t="e">
        <f>AND(#REF!,"AAAAAH7fVaA=")</f>
        <v>#REF!</v>
      </c>
      <c r="FF9" t="e">
        <f>AND(#REF!,"AAAAAH7fVaE=")</f>
        <v>#REF!</v>
      </c>
      <c r="FG9" t="e">
        <f>AND(#REF!,"AAAAAH7fVaI=")</f>
        <v>#REF!</v>
      </c>
      <c r="FH9" t="e">
        <f>AND(#REF!,"AAAAAH7fVaM=")</f>
        <v>#REF!</v>
      </c>
      <c r="FI9" t="e">
        <f>AND(#REF!,"AAAAAH7fVaQ=")</f>
        <v>#REF!</v>
      </c>
      <c r="FJ9" t="e">
        <f>AND(#REF!,"AAAAAH7fVaU=")</f>
        <v>#REF!</v>
      </c>
      <c r="FK9" t="e">
        <f>AND(#REF!,"AAAAAH7fVaY=")</f>
        <v>#REF!</v>
      </c>
      <c r="FL9" t="e">
        <f>AND(#REF!,"AAAAAH7fVac=")</f>
        <v>#REF!</v>
      </c>
      <c r="FM9" t="e">
        <f>AND(#REF!,"AAAAAH7fVag=")</f>
        <v>#REF!</v>
      </c>
      <c r="FN9" t="e">
        <f>IF(#REF!,"AAAAAH7fVak=",0)</f>
        <v>#REF!</v>
      </c>
      <c r="FO9" t="e">
        <f>IF(#REF!,"AAAAAH7fVao=",0)</f>
        <v>#REF!</v>
      </c>
      <c r="FP9" t="e">
        <f>IF(#REF!,"AAAAAH7fVas=",0)</f>
        <v>#REF!</v>
      </c>
      <c r="FQ9" t="e">
        <f>IF(#REF!,"AAAAAH7fVaw=",0)</f>
        <v>#REF!</v>
      </c>
      <c r="FR9" t="e">
        <f>IF(#REF!,"AAAAAH7fVa0=",0)</f>
        <v>#REF!</v>
      </c>
      <c r="FS9" t="e">
        <f>IF(#REF!,"AAAAAH7fVa4=",0)</f>
        <v>#REF!</v>
      </c>
      <c r="FT9" t="e">
        <f>IF(#REF!,"AAAAAH7fVa8=",0)</f>
        <v>#REF!</v>
      </c>
      <c r="FU9" t="e">
        <f>IF(#REF!,"AAAAAH7fVbA=",0)</f>
        <v>#REF!</v>
      </c>
      <c r="FV9" t="e">
        <f>IF(#REF!,"AAAAAH7fVbE=",0)</f>
        <v>#REF!</v>
      </c>
      <c r="FW9" t="e">
        <f>IF(#REF!,"AAAAAH7fVbI=",0)</f>
        <v>#REF!</v>
      </c>
      <c r="FX9" t="e">
        <f>IF(#REF!,"AAAAAH7fVbM=",0)</f>
        <v>#REF!</v>
      </c>
      <c r="FY9" t="e">
        <f>IF(#REF!,"AAAAAH7fVbQ=",0)</f>
        <v>#REF!</v>
      </c>
      <c r="FZ9" t="e">
        <f>IF(#REF!,"AAAAAH7fVbU=",0)</f>
        <v>#REF!</v>
      </c>
      <c r="GA9" t="e">
        <f>IF(#REF!,"AAAAAH7fVbY=",0)</f>
        <v>#REF!</v>
      </c>
      <c r="GB9" t="e">
        <f>IF(#REF!,"AAAAAH7fVbc=",0)</f>
        <v>#REF!</v>
      </c>
      <c r="GC9" t="e">
        <f>IF(#REF!,"AAAAAH7fVbg=",0)</f>
        <v>#REF!</v>
      </c>
      <c r="GD9" t="e">
        <f>IF(#REF!,"AAAAAH7fVbk=",0)</f>
        <v>#REF!</v>
      </c>
      <c r="GE9" t="e">
        <f>IF(#REF!,"AAAAAH7fVbo=",0)</f>
        <v>#REF!</v>
      </c>
      <c r="GF9" t="e">
        <f>IF(#REF!,"AAAAAH7fVbs=",0)</f>
        <v>#REF!</v>
      </c>
      <c r="GG9" t="e">
        <f>IF(#REF!,"AAAAAH7fVbw=",0)</f>
        <v>#REF!</v>
      </c>
      <c r="GH9" t="e">
        <f>IF(#REF!,"AAAAAH7fVb0=",0)</f>
        <v>#REF!</v>
      </c>
      <c r="GI9" t="e">
        <f>IF(AprendizajeColaborativo!#REF!,"AAAAAH7fVb4=",0)</f>
        <v>#REF!</v>
      </c>
      <c r="GJ9" t="e">
        <f>AND(AprendizajeColaborativo!#REF!,"AAAAAH7fVb8=")</f>
        <v>#REF!</v>
      </c>
      <c r="GK9" t="e">
        <f>AND(AprendizajeColaborativo!#REF!,"AAAAAH7fVcA=")</f>
        <v>#REF!</v>
      </c>
      <c r="GL9" t="e">
        <f>AND(AprendizajeColaborativo!#REF!,"AAAAAH7fVcE=")</f>
        <v>#REF!</v>
      </c>
      <c r="GM9" t="e">
        <f>AND(AprendizajeColaborativo!#REF!,"AAAAAH7fVcI=")</f>
        <v>#REF!</v>
      </c>
      <c r="GN9" t="e">
        <f>AND(AprendizajeColaborativo!#REF!,"AAAAAH7fVcM=")</f>
        <v>#REF!</v>
      </c>
      <c r="GO9" t="e">
        <f>AND(AprendizajeColaborativo!#REF!,"AAAAAH7fVcQ=")</f>
        <v>#REF!</v>
      </c>
      <c r="GP9" t="e">
        <f>AND(AprendizajeColaborativo!#REF!,"AAAAAH7fVcU=")</f>
        <v>#REF!</v>
      </c>
      <c r="GQ9" t="e">
        <f>AND(AprendizajeColaborativo!#REF!,"AAAAAH7fVcY=")</f>
        <v>#REF!</v>
      </c>
      <c r="GR9" t="e">
        <f>IF(AprendizajeColaborativo!#REF!,"AAAAAH7fVcc=",0)</f>
        <v>#REF!</v>
      </c>
      <c r="GS9" t="e">
        <f>AND(AprendizajeColaborativo!#REF!,"AAAAAH7fVcg=")</f>
        <v>#REF!</v>
      </c>
      <c r="GT9" t="e">
        <f>AND(AprendizajeColaborativo!#REF!,"AAAAAH7fVck=")</f>
        <v>#REF!</v>
      </c>
      <c r="GU9" t="e">
        <f>AND(AprendizajeColaborativo!#REF!,"AAAAAH7fVco=")</f>
        <v>#REF!</v>
      </c>
      <c r="GV9" t="e">
        <f>AND(AprendizajeColaborativo!#REF!,"AAAAAH7fVcs=")</f>
        <v>#REF!</v>
      </c>
      <c r="GW9" t="e">
        <f>AND(AprendizajeColaborativo!#REF!,"AAAAAH7fVcw=")</f>
        <v>#REF!</v>
      </c>
      <c r="GX9" t="e">
        <f>AND(AprendizajeColaborativo!#REF!,"AAAAAH7fVc0=")</f>
        <v>#REF!</v>
      </c>
      <c r="GY9" t="e">
        <f>AND(AprendizajeColaborativo!#REF!,"AAAAAH7fVc4=")</f>
        <v>#REF!</v>
      </c>
      <c r="GZ9" t="e">
        <f>AND(AprendizajeColaborativo!#REF!,"AAAAAH7fVc8=")</f>
        <v>#REF!</v>
      </c>
      <c r="HA9" t="e">
        <f>IF(AprendizajeColaborativo!#REF!,"AAAAAH7fVdA=",0)</f>
        <v>#REF!</v>
      </c>
      <c r="HB9" t="e">
        <f>AND(AprendizajeColaborativo!#REF!,"AAAAAH7fVdE=")</f>
        <v>#REF!</v>
      </c>
      <c r="HC9" t="e">
        <f>AND(AprendizajeColaborativo!#REF!,"AAAAAH7fVdI=")</f>
        <v>#REF!</v>
      </c>
      <c r="HD9" t="e">
        <f>AND(AprendizajeColaborativo!#REF!,"AAAAAH7fVdM=")</f>
        <v>#REF!</v>
      </c>
      <c r="HE9" t="e">
        <f>AND(AprendizajeColaborativo!#REF!,"AAAAAH7fVdQ=")</f>
        <v>#REF!</v>
      </c>
      <c r="HF9" t="e">
        <f>AND(AprendizajeColaborativo!#REF!,"AAAAAH7fVdU=")</f>
        <v>#REF!</v>
      </c>
      <c r="HG9" t="e">
        <f>AND(AprendizajeColaborativo!#REF!,"AAAAAH7fVdY=")</f>
        <v>#REF!</v>
      </c>
      <c r="HH9" t="e">
        <f>AND(AprendizajeColaborativo!#REF!,"AAAAAH7fVdc=")</f>
        <v>#REF!</v>
      </c>
      <c r="HI9" t="e">
        <f>AND(AprendizajeColaborativo!#REF!,"AAAAAH7fVdg=")</f>
        <v>#REF!</v>
      </c>
      <c r="HJ9" t="e">
        <f>IF(AprendizajeColaborativo!#REF!,"AAAAAH7fVdk=",0)</f>
        <v>#REF!</v>
      </c>
      <c r="HK9" t="e">
        <f>AND(AprendizajeColaborativo!#REF!,"AAAAAH7fVdo=")</f>
        <v>#REF!</v>
      </c>
      <c r="HL9" t="e">
        <f>AND(AprendizajeColaborativo!#REF!,"AAAAAH7fVds=")</f>
        <v>#REF!</v>
      </c>
      <c r="HM9" t="e">
        <f>AND(AprendizajeColaborativo!#REF!,"AAAAAH7fVdw=")</f>
        <v>#REF!</v>
      </c>
      <c r="HN9" t="e">
        <f>AND(AprendizajeColaborativo!#REF!,"AAAAAH7fVd0=")</f>
        <v>#REF!</v>
      </c>
      <c r="HO9" t="e">
        <f>AND(AprendizajeColaborativo!#REF!,"AAAAAH7fVd4=")</f>
        <v>#REF!</v>
      </c>
      <c r="HP9" t="e">
        <f>AND(AprendizajeColaborativo!#REF!,"AAAAAH7fVd8=")</f>
        <v>#REF!</v>
      </c>
      <c r="HQ9" t="e">
        <f>AND(AprendizajeColaborativo!#REF!,"AAAAAH7fVeA=")</f>
        <v>#REF!</v>
      </c>
      <c r="HR9" t="e">
        <f>AND(AprendizajeColaborativo!#REF!,"AAAAAH7fVeE=")</f>
        <v>#REF!</v>
      </c>
      <c r="HS9" t="e">
        <f>IF(AprendizajeColaborativo!#REF!,"AAAAAH7fVeI=",0)</f>
        <v>#REF!</v>
      </c>
      <c r="HT9" t="e">
        <f>AND(AprendizajeColaborativo!#REF!,"AAAAAH7fVeM=")</f>
        <v>#REF!</v>
      </c>
      <c r="HU9" t="e">
        <f>AND(AprendizajeColaborativo!#REF!,"AAAAAH7fVeQ=")</f>
        <v>#REF!</v>
      </c>
      <c r="HV9" t="e">
        <f>AND(AprendizajeColaborativo!#REF!,"AAAAAH7fVeU=")</f>
        <v>#REF!</v>
      </c>
      <c r="HW9" t="e">
        <f>AND(AprendizajeColaborativo!#REF!,"AAAAAH7fVeY=")</f>
        <v>#REF!</v>
      </c>
      <c r="HX9" t="e">
        <f>AND(AprendizajeColaborativo!#REF!,"AAAAAH7fVec=")</f>
        <v>#REF!</v>
      </c>
      <c r="HY9" t="e">
        <f>AND(AprendizajeColaborativo!#REF!,"AAAAAH7fVeg=")</f>
        <v>#REF!</v>
      </c>
      <c r="HZ9" t="e">
        <f>AND(AprendizajeColaborativo!#REF!,"AAAAAH7fVek=")</f>
        <v>#REF!</v>
      </c>
      <c r="IA9" t="e">
        <f>AND(AprendizajeColaborativo!#REF!,"AAAAAH7fVeo=")</f>
        <v>#REF!</v>
      </c>
      <c r="IB9">
        <f>IF(AprendizajeColaborativo!1:1,"AAAAAH7fVes=",0)</f>
        <v>0</v>
      </c>
      <c r="IC9" t="e">
        <f>AND(AprendizajeColaborativo!A1,"AAAAAH7fVew=")</f>
        <v>#VALUE!</v>
      </c>
      <c r="ID9" t="e">
        <f>AND(AprendizajeColaborativo!#REF!,"AAAAAH7fVe0=")</f>
        <v>#REF!</v>
      </c>
      <c r="IE9" t="e">
        <f>AND(AprendizajeColaborativo!B1,"AAAAAH7fVe4=")</f>
        <v>#VALUE!</v>
      </c>
      <c r="IF9" t="e">
        <f>AND(AprendizajeColaborativo!C1,"AAAAAH7fVe8=")</f>
        <v>#VALUE!</v>
      </c>
      <c r="IG9" t="e">
        <f>AND(AprendizajeColaborativo!D1,"AAAAAH7fVfA=")</f>
        <v>#VALUE!</v>
      </c>
      <c r="IH9" t="e">
        <f>AND(AprendizajeColaborativo!E1,"AAAAAH7fVfE=")</f>
        <v>#VALUE!</v>
      </c>
      <c r="II9" t="e">
        <f>AND(AprendizajeColaborativo!#REF!,"AAAAAH7fVfI=")</f>
        <v>#REF!</v>
      </c>
      <c r="IJ9" t="e">
        <f>AND(AprendizajeColaborativo!F1,"AAAAAH7fVfM=")</f>
        <v>#VALUE!</v>
      </c>
      <c r="IK9">
        <f>IF(AprendizajeColaborativo!2:2,"AAAAAH7fVfQ=",0)</f>
        <v>0</v>
      </c>
      <c r="IL9" t="e">
        <f>AND(AprendizajeColaborativo!A2,"AAAAAH7fVfU=")</f>
        <v>#VALUE!</v>
      </c>
      <c r="IM9" t="e">
        <f>AND(AprendizajeColaborativo!#REF!,"AAAAAH7fVfY=")</f>
        <v>#REF!</v>
      </c>
      <c r="IN9" t="e">
        <f>AND(AprendizajeColaborativo!B2,"AAAAAH7fVfc=")</f>
        <v>#VALUE!</v>
      </c>
      <c r="IO9" t="e">
        <f>AND(AprendizajeColaborativo!C2,"AAAAAH7fVfg=")</f>
        <v>#VALUE!</v>
      </c>
      <c r="IP9" t="e">
        <f>AND(AprendizajeColaborativo!D2,"AAAAAH7fVfk=")</f>
        <v>#VALUE!</v>
      </c>
      <c r="IQ9" t="e">
        <f>AND(AprendizajeColaborativo!E2,"AAAAAH7fVfo=")</f>
        <v>#VALUE!</v>
      </c>
      <c r="IR9" t="e">
        <f>AND(AprendizajeColaborativo!#REF!,"AAAAAH7fVfs=")</f>
        <v>#REF!</v>
      </c>
      <c r="IS9" t="e">
        <f>AND(AprendizajeColaborativo!F2,"AAAAAH7fVfw=")</f>
        <v>#VALUE!</v>
      </c>
      <c r="IT9">
        <f>IF(AprendizajeColaborativo!3:3,"AAAAAH7fVf0=",0)</f>
        <v>0</v>
      </c>
      <c r="IU9" t="e">
        <f>AND(AprendizajeColaborativo!A3,"AAAAAH7fVf4=")</f>
        <v>#VALUE!</v>
      </c>
      <c r="IV9" t="e">
        <f>AND(AprendizajeColaborativo!#REF!,"AAAAAH7fVf8=")</f>
        <v>#REF!</v>
      </c>
    </row>
    <row r="10" spans="1:256" x14ac:dyDescent="0.35">
      <c r="A10" t="e">
        <f>AND(AprendizajeColaborativo!B3,"AAAAAHvHbwA=")</f>
        <v>#VALUE!</v>
      </c>
      <c r="B10" t="e">
        <f>AND(AprendizajeColaborativo!C3,"AAAAAHvHbwE=")</f>
        <v>#VALUE!</v>
      </c>
      <c r="C10" t="e">
        <f>AND(AprendizajeColaborativo!D3,"AAAAAHvHbwI=")</f>
        <v>#VALUE!</v>
      </c>
      <c r="D10" t="e">
        <f>AND(AprendizajeColaborativo!E3,"AAAAAHvHbwM=")</f>
        <v>#VALUE!</v>
      </c>
      <c r="E10" t="e">
        <f>AND(AprendizajeColaborativo!#REF!,"AAAAAHvHbwQ=")</f>
        <v>#REF!</v>
      </c>
      <c r="F10" t="e">
        <f>AND(AprendizajeColaborativo!F3,"AAAAAHvHbwU=")</f>
        <v>#VALUE!</v>
      </c>
      <c r="G10">
        <f>IF(AprendizajeColaborativo!4:4,"AAAAAHvHbwY=",0)</f>
        <v>0</v>
      </c>
      <c r="H10" t="e">
        <f>AND(AprendizajeColaborativo!A4,"AAAAAHvHbwc=")</f>
        <v>#VALUE!</v>
      </c>
      <c r="I10" t="e">
        <f>AND(AprendizajeColaborativo!#REF!,"AAAAAHvHbwg=")</f>
        <v>#REF!</v>
      </c>
      <c r="J10" t="b">
        <f>AND(AprendizajeColaborativo!B4,"AAAAAHvHbwk=")</f>
        <v>1</v>
      </c>
      <c r="K10" t="b">
        <f>AND(AprendizajeColaborativo!C4,"AAAAAHvHbwo=")</f>
        <v>1</v>
      </c>
      <c r="L10" t="b">
        <f>AND(AprendizajeColaborativo!D4,"AAAAAHvHbws=")</f>
        <v>1</v>
      </c>
      <c r="M10" t="b">
        <f>AND(AprendizajeColaborativo!E4,"AAAAAHvHbww=")</f>
        <v>1</v>
      </c>
      <c r="N10" t="e">
        <f>AND(AprendizajeColaborativo!#REF!,"AAAAAHvHbw0=")</f>
        <v>#REF!</v>
      </c>
      <c r="O10" t="b">
        <f>AND(AprendizajeColaborativo!F4,"AAAAAHvHbw4=")</f>
        <v>1</v>
      </c>
      <c r="P10">
        <f>IF(AprendizajeColaborativo!5:5,"AAAAAHvHbw8=",0)</f>
        <v>0</v>
      </c>
      <c r="Q10" t="e">
        <f>AND(AprendizajeColaborativo!A5,"AAAAAHvHbxA=")</f>
        <v>#VALUE!</v>
      </c>
      <c r="R10" t="e">
        <f>AND(AprendizajeColaborativo!#REF!,"AAAAAHvHbxE=")</f>
        <v>#REF!</v>
      </c>
      <c r="S10" t="b">
        <f>AND(AprendizajeColaborativo!B5,"AAAAAHvHbxI=")</f>
        <v>1</v>
      </c>
      <c r="T10" t="b">
        <f>AND(AprendizajeColaborativo!C5,"AAAAAHvHbxM=")</f>
        <v>1</v>
      </c>
      <c r="U10" t="b">
        <f>AND(AprendizajeColaborativo!D5,"AAAAAHvHbxQ=")</f>
        <v>1</v>
      </c>
      <c r="V10" t="b">
        <f>AND(AprendizajeColaborativo!E5,"AAAAAHvHbxU=")</f>
        <v>1</v>
      </c>
      <c r="W10" t="e">
        <f>AND(AprendizajeColaborativo!#REF!,"AAAAAHvHbxY=")</f>
        <v>#REF!</v>
      </c>
      <c r="X10" t="b">
        <f>AND(AprendizajeColaborativo!F5,"AAAAAHvHbxc=")</f>
        <v>1</v>
      </c>
      <c r="Y10">
        <f>IF(AprendizajeColaborativo!6:6,"AAAAAHvHbxg=",0)</f>
        <v>0</v>
      </c>
      <c r="Z10" t="e">
        <f>AND(AprendizajeColaborativo!A6,"AAAAAHvHbxk=")</f>
        <v>#VALUE!</v>
      </c>
      <c r="AA10" t="e">
        <f>AND(AprendizajeColaborativo!#REF!,"AAAAAHvHbxo=")</f>
        <v>#REF!</v>
      </c>
      <c r="AB10" t="b">
        <f>AND(AprendizajeColaborativo!B6,"AAAAAHvHbxs=")</f>
        <v>0</v>
      </c>
      <c r="AC10" t="b">
        <f>AND(AprendizajeColaborativo!C6,"AAAAAHvHbxw=")</f>
        <v>0</v>
      </c>
      <c r="AD10" t="b">
        <f>AND(AprendizajeColaborativo!D6,"AAAAAHvHbx0=")</f>
        <v>0</v>
      </c>
      <c r="AE10" t="b">
        <f>AND(AprendizajeColaborativo!E6,"AAAAAHvHbx4=")</f>
        <v>1</v>
      </c>
      <c r="AF10" t="e">
        <f>AND(AprendizajeColaborativo!#REF!,"AAAAAHvHbx8=")</f>
        <v>#REF!</v>
      </c>
      <c r="AG10" t="b">
        <f>AND(AprendizajeColaborativo!F6,"AAAAAHvHbyA=")</f>
        <v>1</v>
      </c>
      <c r="AH10" t="e">
        <f>IF(AprendizajeColaborativo!#REF!,"AAAAAHvHbyE=",0)</f>
        <v>#REF!</v>
      </c>
      <c r="AI10" t="e">
        <f>AND(AprendizajeColaborativo!#REF!,"AAAAAHvHbyI=")</f>
        <v>#REF!</v>
      </c>
      <c r="AJ10" t="e">
        <f>AND(AprendizajeColaborativo!#REF!,"AAAAAHvHbyM=")</f>
        <v>#REF!</v>
      </c>
      <c r="AK10" t="e">
        <f>AND(AprendizajeColaborativo!#REF!,"AAAAAHvHbyQ=")</f>
        <v>#REF!</v>
      </c>
      <c r="AL10" t="e">
        <f>AND(AprendizajeColaborativo!#REF!,"AAAAAHvHbyU=")</f>
        <v>#REF!</v>
      </c>
      <c r="AM10" t="e">
        <f>AND(AprendizajeColaborativo!#REF!,"AAAAAHvHbyY=")</f>
        <v>#REF!</v>
      </c>
      <c r="AN10" t="e">
        <f>AND(AprendizajeColaborativo!#REF!,"AAAAAHvHbyc=")</f>
        <v>#REF!</v>
      </c>
      <c r="AO10" t="e">
        <f>AND(AprendizajeColaborativo!#REF!,"AAAAAHvHbyg=")</f>
        <v>#REF!</v>
      </c>
      <c r="AP10" t="e">
        <f>AND(AprendizajeColaborativo!#REF!,"AAAAAHvHbyk=")</f>
        <v>#REF!</v>
      </c>
      <c r="AQ10">
        <f>IF(AprendizajeColaborativo!7:7,"AAAAAHvHbyo=",0)</f>
        <v>0</v>
      </c>
      <c r="AR10" t="e">
        <f>AND(AprendizajeColaborativo!A7,"AAAAAHvHbys=")</f>
        <v>#VALUE!</v>
      </c>
      <c r="AS10" t="e">
        <f>AND(AprendizajeColaborativo!#REF!,"AAAAAHvHbyw=")</f>
        <v>#REF!</v>
      </c>
      <c r="AT10" t="b">
        <f>AND(AprendizajeColaborativo!B7,"AAAAAHvHby0=")</f>
        <v>1</v>
      </c>
      <c r="AU10" t="b">
        <f>AND(AprendizajeColaborativo!C7,"AAAAAHvHby4=")</f>
        <v>1</v>
      </c>
      <c r="AV10" t="b">
        <f>AND(AprendizajeColaborativo!D7,"AAAAAHvHby8=")</f>
        <v>1</v>
      </c>
      <c r="AW10" t="b">
        <f>AND(AprendizajeColaborativo!E7,"AAAAAHvHbzA=")</f>
        <v>1</v>
      </c>
      <c r="AX10" t="e">
        <f>AND(AprendizajeColaborativo!#REF!,"AAAAAHvHbzE=")</f>
        <v>#REF!</v>
      </c>
      <c r="AY10" t="b">
        <f>AND(AprendizajeColaborativo!F7,"AAAAAHvHbzI=")</f>
        <v>1</v>
      </c>
      <c r="AZ10">
        <f>IF(AprendizajeColaborativo!8:8,"AAAAAHvHbzM=",0)</f>
        <v>0</v>
      </c>
      <c r="BA10" t="e">
        <f>AND(AprendizajeColaborativo!A8,"AAAAAHvHbzQ=")</f>
        <v>#VALUE!</v>
      </c>
      <c r="BB10" t="e">
        <f>AND(AprendizajeColaborativo!#REF!,"AAAAAHvHbzU=")</f>
        <v>#REF!</v>
      </c>
      <c r="BC10" t="b">
        <f>AND(AprendizajeColaborativo!B8,"AAAAAHvHbzY=")</f>
        <v>1</v>
      </c>
      <c r="BD10" t="b">
        <f>AND(AprendizajeColaborativo!C8,"AAAAAHvHbzc=")</f>
        <v>1</v>
      </c>
      <c r="BE10" t="b">
        <f>AND(AprendizajeColaborativo!D8,"AAAAAHvHbzg=")</f>
        <v>1</v>
      </c>
      <c r="BF10" t="b">
        <f>AND(AprendizajeColaborativo!E8,"AAAAAHvHbzk=")</f>
        <v>1</v>
      </c>
      <c r="BG10" t="e">
        <f>AND(AprendizajeColaborativo!#REF!,"AAAAAHvHbzo=")</f>
        <v>#REF!</v>
      </c>
      <c r="BH10" t="b">
        <f>AND(AprendizajeColaborativo!F8,"AAAAAHvHbzs=")</f>
        <v>1</v>
      </c>
      <c r="BI10">
        <f>IF(AprendizajeColaborativo!9:9,"AAAAAHvHbzw=",0)</f>
        <v>0</v>
      </c>
      <c r="BJ10" t="e">
        <f>AND(AprendizajeColaborativo!A9,"AAAAAHvHbz0=")</f>
        <v>#VALUE!</v>
      </c>
      <c r="BK10" t="e">
        <f>AND(AprendizajeColaborativo!#REF!,"AAAAAHvHbz4=")</f>
        <v>#REF!</v>
      </c>
      <c r="BL10" t="b">
        <f>AND(AprendizajeColaborativo!B9,"AAAAAHvHbz8=")</f>
        <v>1</v>
      </c>
      <c r="BM10" t="b">
        <f>AND(AprendizajeColaborativo!C9,"AAAAAHvHb0A=")</f>
        <v>1</v>
      </c>
      <c r="BN10" t="b">
        <f>AND(AprendizajeColaborativo!D9,"AAAAAHvHb0E=")</f>
        <v>1</v>
      </c>
      <c r="BO10" t="b">
        <f>AND(AprendizajeColaborativo!E9,"AAAAAHvHb0I=")</f>
        <v>1</v>
      </c>
      <c r="BP10" t="e">
        <f>AND(AprendizajeColaborativo!#REF!,"AAAAAHvHb0M=")</f>
        <v>#REF!</v>
      </c>
      <c r="BQ10" t="b">
        <f>AND(AprendizajeColaborativo!F9,"AAAAAHvHb0Q=")</f>
        <v>1</v>
      </c>
      <c r="BR10">
        <f>IF(AprendizajeColaborativo!10:10,"AAAAAHvHb0U=",0)</f>
        <v>0</v>
      </c>
      <c r="BS10" t="e">
        <f>AND(AprendizajeColaborativo!A10,"AAAAAHvHb0Y=")</f>
        <v>#VALUE!</v>
      </c>
      <c r="BT10" t="e">
        <f>AND(AprendizajeColaborativo!#REF!,"AAAAAHvHb0c=")</f>
        <v>#REF!</v>
      </c>
      <c r="BU10" t="b">
        <f>AND(AprendizajeColaborativo!B10,"AAAAAHvHb0g=")</f>
        <v>1</v>
      </c>
      <c r="BV10" t="b">
        <f>AND(AprendizajeColaborativo!C10,"AAAAAHvHb0k=")</f>
        <v>1</v>
      </c>
      <c r="BW10" t="b">
        <f>AND(AprendizajeColaborativo!D10,"AAAAAHvHb0o=")</f>
        <v>1</v>
      </c>
      <c r="BX10" t="b">
        <f>AND(AprendizajeColaborativo!E10,"AAAAAHvHb0s=")</f>
        <v>1</v>
      </c>
      <c r="BY10" t="e">
        <f>AND(AprendizajeColaborativo!#REF!,"AAAAAHvHb0w=")</f>
        <v>#REF!</v>
      </c>
      <c r="BZ10" t="b">
        <f>AND(AprendizajeColaborativo!F10,"AAAAAHvHb00=")</f>
        <v>1</v>
      </c>
      <c r="CA10">
        <f>IF(AprendizajeColaborativo!11:11,"AAAAAHvHb04=",0)</f>
        <v>0</v>
      </c>
      <c r="CB10" t="e">
        <f>AND(AprendizajeColaborativo!A11,"AAAAAHvHb08=")</f>
        <v>#VALUE!</v>
      </c>
      <c r="CC10" t="e">
        <f>AND(AprendizajeColaborativo!#REF!,"AAAAAHvHb1A=")</f>
        <v>#REF!</v>
      </c>
      <c r="CD10" t="b">
        <f>AND(AprendizajeColaborativo!B11,"AAAAAHvHb1E=")</f>
        <v>1</v>
      </c>
      <c r="CE10" t="b">
        <f>AND(AprendizajeColaborativo!C11,"AAAAAHvHb1I=")</f>
        <v>1</v>
      </c>
      <c r="CF10" t="b">
        <f>AND(AprendizajeColaborativo!D11,"AAAAAHvHb1M=")</f>
        <v>1</v>
      </c>
      <c r="CG10" t="b">
        <f>AND(AprendizajeColaborativo!E11,"AAAAAHvHb1Q=")</f>
        <v>1</v>
      </c>
      <c r="CH10" t="e">
        <f>AND(AprendizajeColaborativo!#REF!,"AAAAAHvHb1U=")</f>
        <v>#REF!</v>
      </c>
      <c r="CI10" t="b">
        <f>AND(AprendizajeColaborativo!F11,"AAAAAHvHb1Y=")</f>
        <v>1</v>
      </c>
      <c r="CJ10">
        <f>IF(AprendizajeColaborativo!12:12,"AAAAAHvHb1c=",0)</f>
        <v>0</v>
      </c>
      <c r="CK10" t="e">
        <f>AND(AprendizajeColaborativo!A12,"AAAAAHvHb1g=")</f>
        <v>#VALUE!</v>
      </c>
      <c r="CL10" t="e">
        <f>AND(AprendizajeColaborativo!#REF!,"AAAAAHvHb1k=")</f>
        <v>#REF!</v>
      </c>
      <c r="CM10" t="b">
        <f>AND(AprendizajeColaborativo!B12,"AAAAAHvHb1o=")</f>
        <v>1</v>
      </c>
      <c r="CN10" t="b">
        <f>AND(AprendizajeColaborativo!C12,"AAAAAHvHb1s=")</f>
        <v>1</v>
      </c>
      <c r="CO10" t="b">
        <f>AND(AprendizajeColaborativo!D12,"AAAAAHvHb1w=")</f>
        <v>1</v>
      </c>
      <c r="CP10" t="b">
        <f>AND(AprendizajeColaborativo!E12,"AAAAAHvHb10=")</f>
        <v>1</v>
      </c>
      <c r="CQ10" t="e">
        <f>AND(AprendizajeColaborativo!#REF!,"AAAAAHvHb14=")</f>
        <v>#REF!</v>
      </c>
      <c r="CR10" t="b">
        <f>AND(AprendizajeColaborativo!F12,"AAAAAHvHb18=")</f>
        <v>1</v>
      </c>
      <c r="CS10">
        <f>IF(AprendizajeColaborativo!13:13,"AAAAAHvHb2A=",0)</f>
        <v>0</v>
      </c>
      <c r="CT10" t="e">
        <f>AND(AprendizajeColaborativo!A13,"AAAAAHvHb2E=")</f>
        <v>#VALUE!</v>
      </c>
      <c r="CU10" t="e">
        <f>AND(AprendizajeColaborativo!#REF!,"AAAAAHvHb2I=")</f>
        <v>#REF!</v>
      </c>
      <c r="CV10" t="b">
        <f>AND(AprendizajeColaborativo!B13,"AAAAAHvHb2M=")</f>
        <v>1</v>
      </c>
      <c r="CW10" t="b">
        <f>AND(AprendizajeColaborativo!C13,"AAAAAHvHb2Q=")</f>
        <v>1</v>
      </c>
      <c r="CX10" t="b">
        <f>AND(AprendizajeColaborativo!D13,"AAAAAHvHb2U=")</f>
        <v>1</v>
      </c>
      <c r="CY10" t="b">
        <f>AND(AprendizajeColaborativo!E13,"AAAAAHvHb2Y=")</f>
        <v>1</v>
      </c>
      <c r="CZ10" t="e">
        <f>AND(AprendizajeColaborativo!#REF!,"AAAAAHvHb2c=")</f>
        <v>#REF!</v>
      </c>
      <c r="DA10" t="b">
        <f>AND(AprendizajeColaborativo!F13,"AAAAAHvHb2g=")</f>
        <v>1</v>
      </c>
      <c r="DB10">
        <f>IF(AprendizajeColaborativo!14:14,"AAAAAHvHb2k=",0)</f>
        <v>0</v>
      </c>
      <c r="DC10" t="e">
        <f>AND(AprendizajeColaborativo!A14,"AAAAAHvHb2o=")</f>
        <v>#VALUE!</v>
      </c>
      <c r="DD10" t="e">
        <f>AND(AprendizajeColaborativo!#REF!,"AAAAAHvHb2s=")</f>
        <v>#REF!</v>
      </c>
      <c r="DE10" t="b">
        <f>AND(AprendizajeColaborativo!B14,"AAAAAHvHb2w=")</f>
        <v>1</v>
      </c>
      <c r="DF10" t="b">
        <f>AND(AprendizajeColaborativo!C14,"AAAAAHvHb20=")</f>
        <v>1</v>
      </c>
      <c r="DG10" t="b">
        <f>AND(AprendizajeColaborativo!D14,"AAAAAHvHb24=")</f>
        <v>1</v>
      </c>
      <c r="DH10" t="b">
        <f>AND(AprendizajeColaborativo!E14,"AAAAAHvHb28=")</f>
        <v>1</v>
      </c>
      <c r="DI10" t="e">
        <f>AND(AprendizajeColaborativo!#REF!,"AAAAAHvHb3A=")</f>
        <v>#REF!</v>
      </c>
      <c r="DJ10" t="b">
        <f>AND(AprendizajeColaborativo!F14,"AAAAAHvHb3E=")</f>
        <v>1</v>
      </c>
      <c r="DK10">
        <f>IF(AprendizajeColaborativo!15:15,"AAAAAHvHb3I=",0)</f>
        <v>0</v>
      </c>
      <c r="DL10" t="e">
        <f>AND(AprendizajeColaborativo!A15,"AAAAAHvHb3M=")</f>
        <v>#VALUE!</v>
      </c>
      <c r="DM10" t="e">
        <f>AND(AprendizajeColaborativo!#REF!,"AAAAAHvHb3Q=")</f>
        <v>#REF!</v>
      </c>
      <c r="DN10" t="b">
        <f>AND(AprendizajeColaborativo!B15,"AAAAAHvHb3U=")</f>
        <v>1</v>
      </c>
      <c r="DO10" t="b">
        <f>AND(AprendizajeColaborativo!C15,"AAAAAHvHb3Y=")</f>
        <v>1</v>
      </c>
      <c r="DP10" t="b">
        <f>AND(AprendizajeColaborativo!D15,"AAAAAHvHb3c=")</f>
        <v>1</v>
      </c>
      <c r="DQ10" t="b">
        <f>AND(AprendizajeColaborativo!E15,"AAAAAHvHb3g=")</f>
        <v>1</v>
      </c>
      <c r="DR10" t="e">
        <f>AND(AprendizajeColaborativo!#REF!,"AAAAAHvHb3k=")</f>
        <v>#REF!</v>
      </c>
      <c r="DS10" t="b">
        <f>AND(AprendizajeColaborativo!F15,"AAAAAHvHb3o=")</f>
        <v>1</v>
      </c>
      <c r="DT10">
        <f>IF(AprendizajeColaborativo!16:16,"AAAAAHvHb3s=",0)</f>
        <v>0</v>
      </c>
      <c r="DU10" t="e">
        <f>AND(AprendizajeColaborativo!A16,"AAAAAHvHb3w=")</f>
        <v>#VALUE!</v>
      </c>
      <c r="DV10" t="e">
        <f>AND(AprendizajeColaborativo!#REF!,"AAAAAHvHb30=")</f>
        <v>#REF!</v>
      </c>
      <c r="DW10" t="b">
        <f>AND(AprendizajeColaborativo!B16,"AAAAAHvHb34=")</f>
        <v>1</v>
      </c>
      <c r="DX10" t="b">
        <f>AND(AprendizajeColaborativo!C16,"AAAAAHvHb38=")</f>
        <v>1</v>
      </c>
      <c r="DY10" t="b">
        <f>AND(AprendizajeColaborativo!D16,"AAAAAHvHb4A=")</f>
        <v>1</v>
      </c>
      <c r="DZ10" t="b">
        <f>AND(AprendizajeColaborativo!E16,"AAAAAHvHb4E=")</f>
        <v>1</v>
      </c>
      <c r="EA10" t="e">
        <f>AND(AprendizajeColaborativo!#REF!,"AAAAAHvHb4I=")</f>
        <v>#REF!</v>
      </c>
      <c r="EB10" t="b">
        <f>AND(AprendizajeColaborativo!F16,"AAAAAHvHb4M=")</f>
        <v>1</v>
      </c>
      <c r="EC10">
        <f>IF(AprendizajeColaborativo!17:17,"AAAAAHvHb4Q=",0)</f>
        <v>0</v>
      </c>
      <c r="ED10" t="e">
        <f>AND(AprendizajeColaborativo!A17,"AAAAAHvHb4U=")</f>
        <v>#VALUE!</v>
      </c>
      <c r="EE10" t="e">
        <f>AND(AprendizajeColaborativo!#REF!,"AAAAAHvHb4Y=")</f>
        <v>#REF!</v>
      </c>
      <c r="EF10" t="b">
        <f>AND(AprendizajeColaborativo!B17,"AAAAAHvHb4c=")</f>
        <v>1</v>
      </c>
      <c r="EG10" t="b">
        <f>AND(AprendizajeColaborativo!C17,"AAAAAHvHb4g=")</f>
        <v>1</v>
      </c>
      <c r="EH10" t="b">
        <f>AND(AprendizajeColaborativo!D17,"AAAAAHvHb4k=")</f>
        <v>1</v>
      </c>
      <c r="EI10" t="b">
        <f>AND(AprendizajeColaborativo!E17,"AAAAAHvHb4o=")</f>
        <v>1</v>
      </c>
      <c r="EJ10" t="e">
        <f>AND(AprendizajeColaborativo!#REF!,"AAAAAHvHb4s=")</f>
        <v>#REF!</v>
      </c>
      <c r="EK10" t="b">
        <f>AND(AprendizajeColaborativo!F17,"AAAAAHvHb4w=")</f>
        <v>1</v>
      </c>
      <c r="EL10">
        <f>IF(AprendizajeColaborativo!18:18,"AAAAAHvHb40=",0)</f>
        <v>0</v>
      </c>
      <c r="EM10" t="e">
        <f>AND(AprendizajeColaborativo!A18,"AAAAAHvHb44=")</f>
        <v>#VALUE!</v>
      </c>
      <c r="EN10" t="e">
        <f>AND(AprendizajeColaborativo!#REF!,"AAAAAHvHb48=")</f>
        <v>#REF!</v>
      </c>
      <c r="EO10" t="b">
        <f>AND(AprendizajeColaborativo!B18,"AAAAAHvHb5A=")</f>
        <v>1</v>
      </c>
      <c r="EP10" t="b">
        <f>AND(AprendizajeColaborativo!C18,"AAAAAHvHb5E=")</f>
        <v>1</v>
      </c>
      <c r="EQ10" t="b">
        <f>AND(AprendizajeColaborativo!D18,"AAAAAHvHb5I=")</f>
        <v>1</v>
      </c>
      <c r="ER10" t="b">
        <f>AND(AprendizajeColaborativo!E18,"AAAAAHvHb5M=")</f>
        <v>1</v>
      </c>
      <c r="ES10" t="e">
        <f>AND(AprendizajeColaborativo!#REF!,"AAAAAHvHb5Q=")</f>
        <v>#REF!</v>
      </c>
      <c r="ET10" t="b">
        <f>AND(AprendizajeColaborativo!F18,"AAAAAHvHb5U=")</f>
        <v>1</v>
      </c>
      <c r="EU10" t="e">
        <f>IF(AprendizajeColaborativo!#REF!,"AAAAAHvHb5Y=",0)</f>
        <v>#REF!</v>
      </c>
      <c r="EV10" t="e">
        <f>IF(AprendizajeColaborativo!#REF!,"AAAAAHvHb5c=",0)</f>
        <v>#REF!</v>
      </c>
      <c r="EW10" t="e">
        <f>IF(AprendizajeColaborativo!#REF!,"AAAAAHvHb5g=",0)</f>
        <v>#REF!</v>
      </c>
      <c r="EX10" t="e">
        <f>IF(AprendizajeColaborativo!#REF!,"AAAAAHvHb5k=",0)</f>
        <v>#REF!</v>
      </c>
      <c r="EY10" t="e">
        <f>IF(AprendizajeColaborativo!#REF!,"AAAAAHvHb5o=",0)</f>
        <v>#REF!</v>
      </c>
      <c r="EZ10" t="e">
        <f>IF(AprendizajeColaborativo!#REF!,"AAAAAHvHb5s=",0)</f>
        <v>#REF!</v>
      </c>
      <c r="FA10" t="e">
        <f>IF(AprendizajeColaborativo!#REF!,"AAAAAHvHb5w=",0)</f>
        <v>#REF!</v>
      </c>
      <c r="FB10" t="e">
        <f>IF(AprendizajeColaborativo!#REF!,"AAAAAHvHb50=",0)</f>
        <v>#REF!</v>
      </c>
      <c r="FC10" t="e">
        <f>IF(#REF!,"AAAAAHvHb54=",0)</f>
        <v>#REF!</v>
      </c>
      <c r="FD10" t="e">
        <f>AND(#REF!,"AAAAAHvHb58=")</f>
        <v>#REF!</v>
      </c>
      <c r="FE10" t="e">
        <f>AND(#REF!,"AAAAAHvHb6A=")</f>
        <v>#REF!</v>
      </c>
      <c r="FF10" t="e">
        <f>AND(#REF!,"AAAAAHvHb6E=")</f>
        <v>#REF!</v>
      </c>
      <c r="FG10" t="e">
        <f>AND(#REF!,"AAAAAHvHb6I=")</f>
        <v>#REF!</v>
      </c>
      <c r="FH10" t="e">
        <f>AND(#REF!,"AAAAAHvHb6M=")</f>
        <v>#REF!</v>
      </c>
      <c r="FI10" t="e">
        <f>AND(#REF!,"AAAAAHvHb6Q=")</f>
        <v>#REF!</v>
      </c>
      <c r="FJ10" t="e">
        <f>AND(#REF!,"AAAAAHvHb6U=")</f>
        <v>#REF!</v>
      </c>
      <c r="FK10" t="e">
        <f>AND(#REF!,"AAAAAHvHb6Y=")</f>
        <v>#REF!</v>
      </c>
      <c r="FL10" t="e">
        <f>AND(#REF!,"AAAAAHvHb6c=")</f>
        <v>#REF!</v>
      </c>
      <c r="FM10" t="e">
        <f>AND(#REF!,"AAAAAHvHb6g=")</f>
        <v>#REF!</v>
      </c>
      <c r="FN10" t="e">
        <f>AND(#REF!,"AAAAAHvHb6k=")</f>
        <v>#REF!</v>
      </c>
      <c r="FO10" t="e">
        <f>AND(#REF!,"AAAAAHvHb6o=")</f>
        <v>#REF!</v>
      </c>
      <c r="FP10" t="e">
        <f>AND(#REF!,"AAAAAHvHb6s=")</f>
        <v>#REF!</v>
      </c>
      <c r="FQ10" t="e">
        <f>IF(#REF!,"AAAAAHvHb6w=",0)</f>
        <v>#REF!</v>
      </c>
      <c r="FR10" t="e">
        <f>AND(#REF!,"AAAAAHvHb60=")</f>
        <v>#REF!</v>
      </c>
      <c r="FS10" t="e">
        <f>AND(#REF!,"AAAAAHvHb64=")</f>
        <v>#REF!</v>
      </c>
      <c r="FT10" t="e">
        <f>AND(#REF!,"AAAAAHvHb68=")</f>
        <v>#REF!</v>
      </c>
      <c r="FU10" t="e">
        <f>AND(#REF!,"AAAAAHvHb7A=")</f>
        <v>#REF!</v>
      </c>
      <c r="FV10" t="e">
        <f>AND(#REF!,"AAAAAHvHb7E=")</f>
        <v>#REF!</v>
      </c>
      <c r="FW10" t="e">
        <f>AND(#REF!,"AAAAAHvHb7I=")</f>
        <v>#REF!</v>
      </c>
      <c r="FX10" t="e">
        <f>AND(#REF!,"AAAAAHvHb7M=")</f>
        <v>#REF!</v>
      </c>
      <c r="FY10" t="e">
        <f>AND(#REF!,"AAAAAHvHb7Q=")</f>
        <v>#REF!</v>
      </c>
      <c r="FZ10" t="e">
        <f>AND(#REF!,"AAAAAHvHb7U=")</f>
        <v>#REF!</v>
      </c>
      <c r="GA10" t="e">
        <f>AND(#REF!,"AAAAAHvHb7Y=")</f>
        <v>#REF!</v>
      </c>
      <c r="GB10" t="e">
        <f>AND(#REF!,"AAAAAHvHb7c=")</f>
        <v>#REF!</v>
      </c>
      <c r="GC10" t="e">
        <f>AND(#REF!,"AAAAAHvHb7g=")</f>
        <v>#REF!</v>
      </c>
      <c r="GD10" t="e">
        <f>AND(#REF!,"AAAAAHvHb7k=")</f>
        <v>#REF!</v>
      </c>
      <c r="GE10" t="e">
        <f>IF(#REF!,"AAAAAHvHb7o=",0)</f>
        <v>#REF!</v>
      </c>
      <c r="GF10" t="e">
        <f>AND(#REF!,"AAAAAHvHb7s=")</f>
        <v>#REF!</v>
      </c>
      <c r="GG10" t="e">
        <f>AND(#REF!,"AAAAAHvHb7w=")</f>
        <v>#REF!</v>
      </c>
      <c r="GH10" t="e">
        <f>AND(#REF!,"AAAAAHvHb70=")</f>
        <v>#REF!</v>
      </c>
      <c r="GI10" t="e">
        <f>AND(#REF!,"AAAAAHvHb74=")</f>
        <v>#REF!</v>
      </c>
      <c r="GJ10" t="e">
        <f>AND(#REF!,"AAAAAHvHb78=")</f>
        <v>#REF!</v>
      </c>
      <c r="GK10" t="e">
        <f>AND(#REF!,"AAAAAHvHb8A=")</f>
        <v>#REF!</v>
      </c>
      <c r="GL10" t="e">
        <f>AND(#REF!,"AAAAAHvHb8E=")</f>
        <v>#REF!</v>
      </c>
      <c r="GM10" t="e">
        <f>AND(#REF!,"AAAAAHvHb8I=")</f>
        <v>#REF!</v>
      </c>
      <c r="GN10" t="e">
        <f>AND(#REF!,"AAAAAHvHb8M=")</f>
        <v>#REF!</v>
      </c>
      <c r="GO10" t="e">
        <f>AND(#REF!,"AAAAAHvHb8Q=")</f>
        <v>#REF!</v>
      </c>
      <c r="GP10" t="e">
        <f>AND(#REF!,"AAAAAHvHb8U=")</f>
        <v>#REF!</v>
      </c>
      <c r="GQ10" t="e">
        <f>AND(#REF!,"AAAAAHvHb8Y=")</f>
        <v>#REF!</v>
      </c>
      <c r="GR10" t="e">
        <f>AND(#REF!,"AAAAAHvHb8c=")</f>
        <v>#REF!</v>
      </c>
      <c r="GS10" t="e">
        <f>IF(#REF!,"AAAAAHvHb8g=",0)</f>
        <v>#REF!</v>
      </c>
      <c r="GT10" t="e">
        <f>AND(#REF!,"AAAAAHvHb8k=")</f>
        <v>#REF!</v>
      </c>
      <c r="GU10" t="e">
        <f>AND(#REF!,"AAAAAHvHb8o=")</f>
        <v>#REF!</v>
      </c>
      <c r="GV10" t="e">
        <f>AND(#REF!,"AAAAAHvHb8s=")</f>
        <v>#REF!</v>
      </c>
      <c r="GW10" t="e">
        <f>AND(#REF!,"AAAAAHvHb8w=")</f>
        <v>#REF!</v>
      </c>
      <c r="GX10" t="e">
        <f>AND(#REF!,"AAAAAHvHb80=")</f>
        <v>#REF!</v>
      </c>
      <c r="GY10" t="e">
        <f>AND(#REF!,"AAAAAHvHb84=")</f>
        <v>#REF!</v>
      </c>
      <c r="GZ10" t="e">
        <f>AND(#REF!,"AAAAAHvHb88=")</f>
        <v>#REF!</v>
      </c>
      <c r="HA10" t="e">
        <f>AND(#REF!,"AAAAAHvHb9A=")</f>
        <v>#REF!</v>
      </c>
      <c r="HB10" t="e">
        <f>AND(#REF!,"AAAAAHvHb9E=")</f>
        <v>#REF!</v>
      </c>
      <c r="HC10" t="e">
        <f>AND(#REF!,"AAAAAHvHb9I=")</f>
        <v>#REF!</v>
      </c>
      <c r="HD10" t="e">
        <f>AND(#REF!,"AAAAAHvHb9M=")</f>
        <v>#REF!</v>
      </c>
      <c r="HE10" t="e">
        <f>AND(#REF!,"AAAAAHvHb9Q=")</f>
        <v>#REF!</v>
      </c>
      <c r="HF10" t="e">
        <f>AND(#REF!,"AAAAAHvHb9U=")</f>
        <v>#REF!</v>
      </c>
      <c r="HG10" t="e">
        <f>IF(#REF!,"AAAAAHvHb9Y=",0)</f>
        <v>#REF!</v>
      </c>
      <c r="HH10" t="e">
        <f>AND(#REF!,"AAAAAHvHb9c=")</f>
        <v>#REF!</v>
      </c>
      <c r="HI10" t="e">
        <f>AND(#REF!,"AAAAAHvHb9g=")</f>
        <v>#REF!</v>
      </c>
      <c r="HJ10" t="e">
        <f>AND(#REF!,"AAAAAHvHb9k=")</f>
        <v>#REF!</v>
      </c>
      <c r="HK10" t="e">
        <f>AND(#REF!,"AAAAAHvHb9o=")</f>
        <v>#REF!</v>
      </c>
      <c r="HL10" t="e">
        <f>AND(#REF!,"AAAAAHvHb9s=")</f>
        <v>#REF!</v>
      </c>
      <c r="HM10" t="e">
        <f>AND(#REF!,"AAAAAHvHb9w=")</f>
        <v>#REF!</v>
      </c>
      <c r="HN10" t="e">
        <f>AND(#REF!,"AAAAAHvHb90=")</f>
        <v>#REF!</v>
      </c>
      <c r="HO10" t="e">
        <f>AND(#REF!,"AAAAAHvHb94=")</f>
        <v>#REF!</v>
      </c>
      <c r="HP10" t="e">
        <f>AND(#REF!,"AAAAAHvHb98=")</f>
        <v>#REF!</v>
      </c>
      <c r="HQ10" t="e">
        <f>AND(#REF!,"AAAAAHvHb+A=")</f>
        <v>#REF!</v>
      </c>
      <c r="HR10" t="e">
        <f>AND(#REF!,"AAAAAHvHb+E=")</f>
        <v>#REF!</v>
      </c>
      <c r="HS10" t="e">
        <f>AND(#REF!,"AAAAAHvHb+I=")</f>
        <v>#REF!</v>
      </c>
      <c r="HT10" t="e">
        <f>AND(#REF!,"AAAAAHvHb+M=")</f>
        <v>#REF!</v>
      </c>
      <c r="HU10" t="e">
        <f>IF(#REF!,"AAAAAHvHb+Q=",0)</f>
        <v>#REF!</v>
      </c>
      <c r="HV10" t="e">
        <f>AND(#REF!,"AAAAAHvHb+U=")</f>
        <v>#REF!</v>
      </c>
      <c r="HW10" t="e">
        <f>AND(#REF!,"AAAAAHvHb+Y=")</f>
        <v>#REF!</v>
      </c>
      <c r="HX10" t="e">
        <f>AND(#REF!,"AAAAAHvHb+c=")</f>
        <v>#REF!</v>
      </c>
      <c r="HY10" t="e">
        <f>AND(#REF!,"AAAAAHvHb+g=")</f>
        <v>#REF!</v>
      </c>
      <c r="HZ10" t="e">
        <f>AND(#REF!,"AAAAAHvHb+k=")</f>
        <v>#REF!</v>
      </c>
      <c r="IA10" t="e">
        <f>AND(#REF!,"AAAAAHvHb+o=")</f>
        <v>#REF!</v>
      </c>
      <c r="IB10" t="e">
        <f>AND(#REF!,"AAAAAHvHb+s=")</f>
        <v>#REF!</v>
      </c>
      <c r="IC10" t="e">
        <f>AND(#REF!,"AAAAAHvHb+w=")</f>
        <v>#REF!</v>
      </c>
      <c r="ID10" t="e">
        <f>AND(#REF!,"AAAAAHvHb+0=")</f>
        <v>#REF!</v>
      </c>
      <c r="IE10" t="e">
        <f>AND(#REF!,"AAAAAHvHb+4=")</f>
        <v>#REF!</v>
      </c>
      <c r="IF10" t="e">
        <f>AND(#REF!,"AAAAAHvHb+8=")</f>
        <v>#REF!</v>
      </c>
      <c r="IG10" t="e">
        <f>AND(#REF!,"AAAAAHvHb/A=")</f>
        <v>#REF!</v>
      </c>
      <c r="IH10" t="e">
        <f>AND(#REF!,"AAAAAHvHb/E=")</f>
        <v>#REF!</v>
      </c>
      <c r="II10" t="e">
        <f>IF(#REF!,"AAAAAHvHb/I=",0)</f>
        <v>#REF!</v>
      </c>
      <c r="IJ10" t="e">
        <f>AND(#REF!,"AAAAAHvHb/M=")</f>
        <v>#REF!</v>
      </c>
      <c r="IK10" t="e">
        <f>AND(#REF!,"AAAAAHvHb/Q=")</f>
        <v>#REF!</v>
      </c>
      <c r="IL10" t="e">
        <f>AND(#REF!,"AAAAAHvHb/U=")</f>
        <v>#REF!</v>
      </c>
      <c r="IM10" t="e">
        <f>AND(#REF!,"AAAAAHvHb/Y=")</f>
        <v>#REF!</v>
      </c>
      <c r="IN10" t="e">
        <f>AND(#REF!,"AAAAAHvHb/c=")</f>
        <v>#REF!</v>
      </c>
      <c r="IO10" t="e">
        <f>AND(#REF!,"AAAAAHvHb/g=")</f>
        <v>#REF!</v>
      </c>
      <c r="IP10" t="e">
        <f>AND(#REF!,"AAAAAHvHb/k=")</f>
        <v>#REF!</v>
      </c>
      <c r="IQ10" t="e">
        <f>AND(#REF!,"AAAAAHvHb/o=")</f>
        <v>#REF!</v>
      </c>
      <c r="IR10" t="e">
        <f>AND(#REF!,"AAAAAHvHb/s=")</f>
        <v>#REF!</v>
      </c>
      <c r="IS10" t="e">
        <f>AND(#REF!,"AAAAAHvHb/w=")</f>
        <v>#REF!</v>
      </c>
      <c r="IT10" t="e">
        <f>AND(#REF!,"AAAAAHvHb/0=")</f>
        <v>#REF!</v>
      </c>
      <c r="IU10" t="e">
        <f>AND(#REF!,"AAAAAHvHb/4=")</f>
        <v>#REF!</v>
      </c>
      <c r="IV10" t="e">
        <f>AND(#REF!,"AAAAAHvHb/8=")</f>
        <v>#REF!</v>
      </c>
    </row>
    <row r="11" spans="1:256" x14ac:dyDescent="0.35">
      <c r="A11" t="e">
        <f>IF(#REF!,"AAAAAH/30wA=",0)</f>
        <v>#REF!</v>
      </c>
      <c r="B11" t="e">
        <f>AND(#REF!,"AAAAAH/30wE=")</f>
        <v>#REF!</v>
      </c>
      <c r="C11" t="e">
        <f>AND(#REF!,"AAAAAH/30wI=")</f>
        <v>#REF!</v>
      </c>
      <c r="D11" t="e">
        <f>AND(#REF!,"AAAAAH/30wM=")</f>
        <v>#REF!</v>
      </c>
      <c r="E11" t="e">
        <f>AND(#REF!,"AAAAAH/30wQ=")</f>
        <v>#REF!</v>
      </c>
      <c r="F11" t="e">
        <f>AND(#REF!,"AAAAAH/30wU=")</f>
        <v>#REF!</v>
      </c>
      <c r="G11" t="e">
        <f>AND(#REF!,"AAAAAH/30wY=")</f>
        <v>#REF!</v>
      </c>
      <c r="H11" t="e">
        <f>AND(#REF!,"AAAAAH/30wc=")</f>
        <v>#REF!</v>
      </c>
      <c r="I11" t="e">
        <f>AND(#REF!,"AAAAAH/30wg=")</f>
        <v>#REF!</v>
      </c>
      <c r="J11" t="e">
        <f>AND(#REF!,"AAAAAH/30wk=")</f>
        <v>#REF!</v>
      </c>
      <c r="K11" t="e">
        <f>AND(#REF!,"AAAAAH/30wo=")</f>
        <v>#REF!</v>
      </c>
      <c r="L11" t="e">
        <f>AND(#REF!,"AAAAAH/30ws=")</f>
        <v>#REF!</v>
      </c>
      <c r="M11" t="e">
        <f>AND(#REF!,"AAAAAH/30ww=")</f>
        <v>#REF!</v>
      </c>
      <c r="N11" t="e">
        <f>AND(#REF!,"AAAAAH/30w0=")</f>
        <v>#REF!</v>
      </c>
      <c r="O11" t="e">
        <f>IF(#REF!,"AAAAAH/30w4=",0)</f>
        <v>#REF!</v>
      </c>
      <c r="P11" t="e">
        <f>AND(#REF!,"AAAAAH/30w8=")</f>
        <v>#REF!</v>
      </c>
      <c r="Q11" t="e">
        <f>AND(#REF!,"AAAAAH/30xA=")</f>
        <v>#REF!</v>
      </c>
      <c r="R11" t="e">
        <f>AND(#REF!,"AAAAAH/30xE=")</f>
        <v>#REF!</v>
      </c>
      <c r="S11" t="e">
        <f>AND(#REF!,"AAAAAH/30xI=")</f>
        <v>#REF!</v>
      </c>
      <c r="T11" t="e">
        <f>AND(#REF!,"AAAAAH/30xM=")</f>
        <v>#REF!</v>
      </c>
      <c r="U11" t="e">
        <f>AND(#REF!,"AAAAAH/30xQ=")</f>
        <v>#REF!</v>
      </c>
      <c r="V11" t="e">
        <f>AND(#REF!,"AAAAAH/30xU=")</f>
        <v>#REF!</v>
      </c>
      <c r="W11" t="e">
        <f>AND(#REF!,"AAAAAH/30xY=")</f>
        <v>#REF!</v>
      </c>
      <c r="X11" t="e">
        <f>AND(#REF!,"AAAAAH/30xc=")</f>
        <v>#REF!</v>
      </c>
      <c r="Y11" t="e">
        <f>AND(#REF!,"AAAAAH/30xg=")</f>
        <v>#REF!</v>
      </c>
      <c r="Z11" t="e">
        <f>AND(#REF!,"AAAAAH/30xk=")</f>
        <v>#REF!</v>
      </c>
      <c r="AA11" t="e">
        <f>AND(#REF!,"AAAAAH/30xo=")</f>
        <v>#REF!</v>
      </c>
      <c r="AB11" t="e">
        <f>AND(#REF!,"AAAAAH/30xs=")</f>
        <v>#REF!</v>
      </c>
      <c r="AC11" t="e">
        <f>IF(#REF!,"AAAAAH/30xw=",0)</f>
        <v>#REF!</v>
      </c>
      <c r="AD11" t="e">
        <f>AND(#REF!,"AAAAAH/30x0=")</f>
        <v>#REF!</v>
      </c>
      <c r="AE11" t="e">
        <f>AND(#REF!,"AAAAAH/30x4=")</f>
        <v>#REF!</v>
      </c>
      <c r="AF11" t="e">
        <f>AND(#REF!,"AAAAAH/30x8=")</f>
        <v>#REF!</v>
      </c>
      <c r="AG11" t="e">
        <f>AND(#REF!,"AAAAAH/30yA=")</f>
        <v>#REF!</v>
      </c>
      <c r="AH11" t="e">
        <f>AND(#REF!,"AAAAAH/30yE=")</f>
        <v>#REF!</v>
      </c>
      <c r="AI11" t="e">
        <f>AND(#REF!,"AAAAAH/30yI=")</f>
        <v>#REF!</v>
      </c>
      <c r="AJ11" t="e">
        <f>AND(#REF!,"AAAAAH/30yM=")</f>
        <v>#REF!</v>
      </c>
      <c r="AK11" t="e">
        <f>AND(#REF!,"AAAAAH/30yQ=")</f>
        <v>#REF!</v>
      </c>
      <c r="AL11" t="e">
        <f>AND(#REF!,"AAAAAH/30yU=")</f>
        <v>#REF!</v>
      </c>
      <c r="AM11" t="e">
        <f>AND(#REF!,"AAAAAH/30yY=")</f>
        <v>#REF!</v>
      </c>
      <c r="AN11" t="e">
        <f>AND(#REF!,"AAAAAH/30yc=")</f>
        <v>#REF!</v>
      </c>
      <c r="AO11" t="e">
        <f>AND(#REF!,"AAAAAH/30yg=")</f>
        <v>#REF!</v>
      </c>
      <c r="AP11" t="e">
        <f>AND(#REF!,"AAAAAH/30yk=")</f>
        <v>#REF!</v>
      </c>
      <c r="AQ11" t="e">
        <f>IF(#REF!,"AAAAAH/30yo=",0)</f>
        <v>#REF!</v>
      </c>
      <c r="AR11" t="e">
        <f>AND(#REF!,"AAAAAH/30ys=")</f>
        <v>#REF!</v>
      </c>
      <c r="AS11" t="e">
        <f>AND(#REF!,"AAAAAH/30yw=")</f>
        <v>#REF!</v>
      </c>
      <c r="AT11" t="e">
        <f>AND(#REF!,"AAAAAH/30y0=")</f>
        <v>#REF!</v>
      </c>
      <c r="AU11" t="e">
        <f>AND(#REF!,"AAAAAH/30y4=")</f>
        <v>#REF!</v>
      </c>
      <c r="AV11" t="e">
        <f>AND(#REF!,"AAAAAH/30y8=")</f>
        <v>#REF!</v>
      </c>
      <c r="AW11" t="e">
        <f>AND(#REF!,"AAAAAH/30zA=")</f>
        <v>#REF!</v>
      </c>
      <c r="AX11" t="e">
        <f>AND(#REF!,"AAAAAH/30zE=")</f>
        <v>#REF!</v>
      </c>
      <c r="AY11" t="e">
        <f>AND(#REF!,"AAAAAH/30zI=")</f>
        <v>#REF!</v>
      </c>
      <c r="AZ11" t="e">
        <f>AND(#REF!,"AAAAAH/30zM=")</f>
        <v>#REF!</v>
      </c>
      <c r="BA11" t="e">
        <f>AND(#REF!,"AAAAAH/30zQ=")</f>
        <v>#REF!</v>
      </c>
      <c r="BB11" t="e">
        <f>AND(#REF!,"AAAAAH/30zU=")</f>
        <v>#REF!</v>
      </c>
      <c r="BC11" t="e">
        <f>AND(#REF!,"AAAAAH/30zY=")</f>
        <v>#REF!</v>
      </c>
      <c r="BD11" t="e">
        <f>AND(#REF!,"AAAAAH/30zc=")</f>
        <v>#REF!</v>
      </c>
      <c r="BE11" t="e">
        <f>IF(#REF!,"AAAAAH/30zg=",0)</f>
        <v>#REF!</v>
      </c>
      <c r="BF11" t="e">
        <f>AND(#REF!,"AAAAAH/30zk=")</f>
        <v>#REF!</v>
      </c>
      <c r="BG11" t="e">
        <f>AND(#REF!,"AAAAAH/30zo=")</f>
        <v>#REF!</v>
      </c>
      <c r="BH11" t="e">
        <f>AND(#REF!,"AAAAAH/30zs=")</f>
        <v>#REF!</v>
      </c>
      <c r="BI11" t="e">
        <f>AND(#REF!,"AAAAAH/30zw=")</f>
        <v>#REF!</v>
      </c>
      <c r="BJ11" t="e">
        <f>AND(#REF!,"AAAAAH/30z0=")</f>
        <v>#REF!</v>
      </c>
      <c r="BK11" t="e">
        <f>AND(#REF!,"AAAAAH/30z4=")</f>
        <v>#REF!</v>
      </c>
      <c r="BL11" t="e">
        <f>AND(#REF!,"AAAAAH/30z8=")</f>
        <v>#REF!</v>
      </c>
      <c r="BM11" t="e">
        <f>AND(#REF!,"AAAAAH/300A=")</f>
        <v>#REF!</v>
      </c>
      <c r="BN11" t="e">
        <f>AND(#REF!,"AAAAAH/300E=")</f>
        <v>#REF!</v>
      </c>
      <c r="BO11" t="e">
        <f>AND(#REF!,"AAAAAH/300I=")</f>
        <v>#REF!</v>
      </c>
      <c r="BP11" t="e">
        <f>AND(#REF!,"AAAAAH/300M=")</f>
        <v>#REF!</v>
      </c>
      <c r="BQ11" t="e">
        <f>AND(#REF!,"AAAAAH/300Q=")</f>
        <v>#REF!</v>
      </c>
      <c r="BR11" t="e">
        <f>AND(#REF!,"AAAAAH/300U=")</f>
        <v>#REF!</v>
      </c>
      <c r="BS11" t="e">
        <f>IF(#REF!,"AAAAAH/300Y=",0)</f>
        <v>#REF!</v>
      </c>
      <c r="BT11" t="e">
        <f>AND(#REF!,"AAAAAH/300c=")</f>
        <v>#REF!</v>
      </c>
      <c r="BU11" t="e">
        <f>AND(#REF!,"AAAAAH/300g=")</f>
        <v>#REF!</v>
      </c>
      <c r="BV11" t="e">
        <f>AND(#REF!,"AAAAAH/300k=")</f>
        <v>#REF!</v>
      </c>
      <c r="BW11" t="e">
        <f>AND(#REF!,"AAAAAH/300o=")</f>
        <v>#REF!</v>
      </c>
      <c r="BX11" t="e">
        <f>AND(#REF!,"AAAAAH/300s=")</f>
        <v>#REF!</v>
      </c>
      <c r="BY11" t="e">
        <f>AND(#REF!,"AAAAAH/300w=")</f>
        <v>#REF!</v>
      </c>
      <c r="BZ11" t="e">
        <f>AND(#REF!,"AAAAAH/3000=")</f>
        <v>#REF!</v>
      </c>
      <c r="CA11" t="e">
        <f>AND(#REF!,"AAAAAH/3004=")</f>
        <v>#REF!</v>
      </c>
      <c r="CB11" t="e">
        <f>AND(#REF!,"AAAAAH/3008=")</f>
        <v>#REF!</v>
      </c>
      <c r="CC11" t="e">
        <f>AND(#REF!,"AAAAAH/301A=")</f>
        <v>#REF!</v>
      </c>
      <c r="CD11" t="e">
        <f>AND(#REF!,"AAAAAH/301E=")</f>
        <v>#REF!</v>
      </c>
      <c r="CE11" t="e">
        <f>AND(#REF!,"AAAAAH/301I=")</f>
        <v>#REF!</v>
      </c>
      <c r="CF11" t="e">
        <f>AND(#REF!,"AAAAAH/301M=")</f>
        <v>#REF!</v>
      </c>
      <c r="CG11" t="e">
        <f>IF(#REF!,"AAAAAH/301Q=",0)</f>
        <v>#REF!</v>
      </c>
      <c r="CH11" t="e">
        <f>AND(#REF!,"AAAAAH/301U=")</f>
        <v>#REF!</v>
      </c>
      <c r="CI11" t="e">
        <f>AND(#REF!,"AAAAAH/301Y=")</f>
        <v>#REF!</v>
      </c>
      <c r="CJ11" t="e">
        <f>AND(#REF!,"AAAAAH/301c=")</f>
        <v>#REF!</v>
      </c>
      <c r="CK11" t="e">
        <f>AND(#REF!,"AAAAAH/301g=")</f>
        <v>#REF!</v>
      </c>
      <c r="CL11" t="e">
        <f>AND(#REF!,"AAAAAH/301k=")</f>
        <v>#REF!</v>
      </c>
      <c r="CM11" t="e">
        <f>AND(#REF!,"AAAAAH/301o=")</f>
        <v>#REF!</v>
      </c>
      <c r="CN11" t="e">
        <f>AND(#REF!,"AAAAAH/301s=")</f>
        <v>#REF!</v>
      </c>
      <c r="CO11" t="e">
        <f>AND(#REF!,"AAAAAH/301w=")</f>
        <v>#REF!</v>
      </c>
      <c r="CP11" t="e">
        <f>AND(#REF!,"AAAAAH/3010=")</f>
        <v>#REF!</v>
      </c>
      <c r="CQ11" t="e">
        <f>AND(#REF!,"AAAAAH/3014=")</f>
        <v>#REF!</v>
      </c>
      <c r="CR11" t="e">
        <f>AND(#REF!,"AAAAAH/3018=")</f>
        <v>#REF!</v>
      </c>
      <c r="CS11" t="e">
        <f>AND(#REF!,"AAAAAH/302A=")</f>
        <v>#REF!</v>
      </c>
      <c r="CT11" t="e">
        <f>AND(#REF!,"AAAAAH/302E=")</f>
        <v>#REF!</v>
      </c>
      <c r="CU11" t="e">
        <f>IF(#REF!,"AAAAAH/302I=",0)</f>
        <v>#REF!</v>
      </c>
      <c r="CV11" t="e">
        <f>AND(#REF!,"AAAAAH/302M=")</f>
        <v>#REF!</v>
      </c>
      <c r="CW11" t="e">
        <f>AND(#REF!,"AAAAAH/302Q=")</f>
        <v>#REF!</v>
      </c>
      <c r="CX11" t="e">
        <f>AND(#REF!,"AAAAAH/302U=")</f>
        <v>#REF!</v>
      </c>
      <c r="CY11" t="e">
        <f>AND(#REF!,"AAAAAH/302Y=")</f>
        <v>#REF!</v>
      </c>
      <c r="CZ11" t="e">
        <f>AND(#REF!,"AAAAAH/302c=")</f>
        <v>#REF!</v>
      </c>
      <c r="DA11" t="e">
        <f>AND(#REF!,"AAAAAH/302g=")</f>
        <v>#REF!</v>
      </c>
      <c r="DB11" t="e">
        <f>AND(#REF!,"AAAAAH/302k=")</f>
        <v>#REF!</v>
      </c>
      <c r="DC11" t="e">
        <f>AND(#REF!,"AAAAAH/302o=")</f>
        <v>#REF!</v>
      </c>
      <c r="DD11" t="e">
        <f>AND(#REF!,"AAAAAH/302s=")</f>
        <v>#REF!</v>
      </c>
      <c r="DE11" t="e">
        <f>AND(#REF!,"AAAAAH/302w=")</f>
        <v>#REF!</v>
      </c>
      <c r="DF11" t="e">
        <f>AND(#REF!,"AAAAAH/3020=")</f>
        <v>#REF!</v>
      </c>
      <c r="DG11" t="e">
        <f>AND(#REF!,"AAAAAH/3024=")</f>
        <v>#REF!</v>
      </c>
      <c r="DH11" t="e">
        <f>AND(#REF!,"AAAAAH/3028=")</f>
        <v>#REF!</v>
      </c>
      <c r="DI11" t="e">
        <f>IF(#REF!,"AAAAAH/303A=",0)</f>
        <v>#REF!</v>
      </c>
      <c r="DJ11" t="e">
        <f>AND(#REF!,"AAAAAH/303E=")</f>
        <v>#REF!</v>
      </c>
      <c r="DK11" t="e">
        <f>AND(#REF!,"AAAAAH/303I=")</f>
        <v>#REF!</v>
      </c>
      <c r="DL11" t="e">
        <f>AND(#REF!,"AAAAAH/303M=")</f>
        <v>#REF!</v>
      </c>
      <c r="DM11" t="e">
        <f>AND(#REF!,"AAAAAH/303Q=")</f>
        <v>#REF!</v>
      </c>
      <c r="DN11" t="e">
        <f>AND(#REF!,"AAAAAH/303U=")</f>
        <v>#REF!</v>
      </c>
      <c r="DO11" t="e">
        <f>AND(#REF!,"AAAAAH/303Y=")</f>
        <v>#REF!</v>
      </c>
      <c r="DP11" t="e">
        <f>AND(#REF!,"AAAAAH/303c=")</f>
        <v>#REF!</v>
      </c>
      <c r="DQ11" t="e">
        <f>AND(#REF!,"AAAAAH/303g=")</f>
        <v>#REF!</v>
      </c>
      <c r="DR11" t="e">
        <f>AND(#REF!,"AAAAAH/303k=")</f>
        <v>#REF!</v>
      </c>
      <c r="DS11" t="e">
        <f>AND(#REF!,"AAAAAH/303o=")</f>
        <v>#REF!</v>
      </c>
      <c r="DT11" t="e">
        <f>AND(#REF!,"AAAAAH/303s=")</f>
        <v>#REF!</v>
      </c>
      <c r="DU11" t="e">
        <f>AND(#REF!,"AAAAAH/303w=")</f>
        <v>#REF!</v>
      </c>
      <c r="DV11" t="e">
        <f>AND(#REF!,"AAAAAH/3030=")</f>
        <v>#REF!</v>
      </c>
      <c r="DW11" t="e">
        <f>IF(#REF!,"AAAAAH/3034=",0)</f>
        <v>#REF!</v>
      </c>
      <c r="DX11" t="e">
        <f>AND(#REF!,"AAAAAH/3038=")</f>
        <v>#REF!</v>
      </c>
      <c r="DY11" t="e">
        <f>AND(#REF!,"AAAAAH/304A=")</f>
        <v>#REF!</v>
      </c>
      <c r="DZ11" t="e">
        <f>AND(#REF!,"AAAAAH/304E=")</f>
        <v>#REF!</v>
      </c>
      <c r="EA11" t="e">
        <f>AND(#REF!,"AAAAAH/304I=")</f>
        <v>#REF!</v>
      </c>
      <c r="EB11" t="e">
        <f>AND(#REF!,"AAAAAH/304M=")</f>
        <v>#REF!</v>
      </c>
      <c r="EC11" t="e">
        <f>AND(#REF!,"AAAAAH/304Q=")</f>
        <v>#REF!</v>
      </c>
      <c r="ED11" t="e">
        <f>AND(#REF!,"AAAAAH/304U=")</f>
        <v>#REF!</v>
      </c>
      <c r="EE11" t="e">
        <f>AND(#REF!,"AAAAAH/304Y=")</f>
        <v>#REF!</v>
      </c>
      <c r="EF11" t="e">
        <f>AND(#REF!,"AAAAAH/304c=")</f>
        <v>#REF!</v>
      </c>
      <c r="EG11" t="e">
        <f>AND(#REF!,"AAAAAH/304g=")</f>
        <v>#REF!</v>
      </c>
      <c r="EH11" t="e">
        <f>AND(#REF!,"AAAAAH/304k=")</f>
        <v>#REF!</v>
      </c>
      <c r="EI11" t="e">
        <f>AND(#REF!,"AAAAAH/304o=")</f>
        <v>#REF!</v>
      </c>
      <c r="EJ11" t="e">
        <f>AND(#REF!,"AAAAAH/304s=")</f>
        <v>#REF!</v>
      </c>
      <c r="EK11" t="e">
        <f>IF(#REF!,"AAAAAH/304w=",0)</f>
        <v>#REF!</v>
      </c>
      <c r="EL11" t="e">
        <f>AND(#REF!,"AAAAAH/3040=")</f>
        <v>#REF!</v>
      </c>
      <c r="EM11" t="e">
        <f>AND(#REF!,"AAAAAH/3044=")</f>
        <v>#REF!</v>
      </c>
      <c r="EN11" t="e">
        <f>AND(#REF!,"AAAAAH/3048=")</f>
        <v>#REF!</v>
      </c>
      <c r="EO11" t="e">
        <f>AND(#REF!,"AAAAAH/305A=")</f>
        <v>#REF!</v>
      </c>
      <c r="EP11" t="e">
        <f>AND(#REF!,"AAAAAH/305E=")</f>
        <v>#REF!</v>
      </c>
      <c r="EQ11" t="e">
        <f>AND(#REF!,"AAAAAH/305I=")</f>
        <v>#REF!</v>
      </c>
      <c r="ER11" t="e">
        <f>AND(#REF!,"AAAAAH/305M=")</f>
        <v>#REF!</v>
      </c>
      <c r="ES11" t="e">
        <f>AND(#REF!,"AAAAAH/305Q=")</f>
        <v>#REF!</v>
      </c>
      <c r="ET11" t="e">
        <f>AND(#REF!,"AAAAAH/305U=")</f>
        <v>#REF!</v>
      </c>
      <c r="EU11" t="e">
        <f>AND(#REF!,"AAAAAH/305Y=")</f>
        <v>#REF!</v>
      </c>
      <c r="EV11" t="e">
        <f>AND(#REF!,"AAAAAH/305c=")</f>
        <v>#REF!</v>
      </c>
      <c r="EW11" t="e">
        <f>AND(#REF!,"AAAAAH/305g=")</f>
        <v>#REF!</v>
      </c>
      <c r="EX11" t="e">
        <f>AND(#REF!,"AAAAAH/305k=")</f>
        <v>#REF!</v>
      </c>
      <c r="EY11" t="e">
        <f>IF(#REF!,"AAAAAH/305o=",0)</f>
        <v>#REF!</v>
      </c>
      <c r="EZ11" t="e">
        <f>AND(#REF!,"AAAAAH/305s=")</f>
        <v>#REF!</v>
      </c>
      <c r="FA11" t="e">
        <f>AND(#REF!,"AAAAAH/305w=")</f>
        <v>#REF!</v>
      </c>
      <c r="FB11" t="e">
        <f>AND(#REF!,"AAAAAH/3050=")</f>
        <v>#REF!</v>
      </c>
      <c r="FC11" t="e">
        <f>AND(#REF!,"AAAAAH/3054=")</f>
        <v>#REF!</v>
      </c>
      <c r="FD11" t="e">
        <f>AND(#REF!,"AAAAAH/3058=")</f>
        <v>#REF!</v>
      </c>
      <c r="FE11" t="e">
        <f>AND(#REF!,"AAAAAH/306A=")</f>
        <v>#REF!</v>
      </c>
      <c r="FF11" t="e">
        <f>AND(#REF!,"AAAAAH/306E=")</f>
        <v>#REF!</v>
      </c>
      <c r="FG11" t="e">
        <f>AND(#REF!,"AAAAAH/306I=")</f>
        <v>#REF!</v>
      </c>
      <c r="FH11" t="e">
        <f>AND(#REF!,"AAAAAH/306M=")</f>
        <v>#REF!</v>
      </c>
      <c r="FI11" t="e">
        <f>AND(#REF!,"AAAAAH/306Q=")</f>
        <v>#REF!</v>
      </c>
      <c r="FJ11" t="e">
        <f>AND(#REF!,"AAAAAH/306U=")</f>
        <v>#REF!</v>
      </c>
      <c r="FK11" t="e">
        <f>AND(#REF!,"AAAAAH/306Y=")</f>
        <v>#REF!</v>
      </c>
      <c r="FL11" t="e">
        <f>AND(#REF!,"AAAAAH/306c=")</f>
        <v>#REF!</v>
      </c>
      <c r="FM11" t="e">
        <f>IF(#REF!,"AAAAAH/306g=",0)</f>
        <v>#REF!</v>
      </c>
      <c r="FN11" t="e">
        <f>AND(#REF!,"AAAAAH/306k=")</f>
        <v>#REF!</v>
      </c>
      <c r="FO11" t="e">
        <f>AND(#REF!,"AAAAAH/306o=")</f>
        <v>#REF!</v>
      </c>
      <c r="FP11" t="e">
        <f>AND(#REF!,"AAAAAH/306s=")</f>
        <v>#REF!</v>
      </c>
      <c r="FQ11" t="e">
        <f>AND(#REF!,"AAAAAH/306w=")</f>
        <v>#REF!</v>
      </c>
      <c r="FR11" t="e">
        <f>AND(#REF!,"AAAAAH/3060=")</f>
        <v>#REF!</v>
      </c>
      <c r="FS11" t="e">
        <f>AND(#REF!,"AAAAAH/3064=")</f>
        <v>#REF!</v>
      </c>
      <c r="FT11" t="e">
        <f>AND(#REF!,"AAAAAH/3068=")</f>
        <v>#REF!</v>
      </c>
      <c r="FU11" t="e">
        <f>AND(#REF!,"AAAAAH/307A=")</f>
        <v>#REF!</v>
      </c>
      <c r="FV11" t="e">
        <f>AND(#REF!,"AAAAAH/307E=")</f>
        <v>#REF!</v>
      </c>
      <c r="FW11" t="e">
        <f>AND(#REF!,"AAAAAH/307I=")</f>
        <v>#REF!</v>
      </c>
      <c r="FX11" t="e">
        <f>AND(#REF!,"AAAAAH/307M=")</f>
        <v>#REF!</v>
      </c>
      <c r="FY11" t="e">
        <f>AND(#REF!,"AAAAAH/307Q=")</f>
        <v>#REF!</v>
      </c>
      <c r="FZ11" t="e">
        <f>AND(#REF!,"AAAAAH/307U=")</f>
        <v>#REF!</v>
      </c>
      <c r="GA11" t="e">
        <f>IF(#REF!,"AAAAAH/307Y=",0)</f>
        <v>#REF!</v>
      </c>
      <c r="GB11" t="e">
        <f>AND(#REF!,"AAAAAH/307c=")</f>
        <v>#REF!</v>
      </c>
      <c r="GC11" t="e">
        <f>AND(#REF!,"AAAAAH/307g=")</f>
        <v>#REF!</v>
      </c>
      <c r="GD11" t="e">
        <f>AND(#REF!,"AAAAAH/307k=")</f>
        <v>#REF!</v>
      </c>
      <c r="GE11" t="e">
        <f>AND(#REF!,"AAAAAH/307o=")</f>
        <v>#REF!</v>
      </c>
      <c r="GF11" t="e">
        <f>AND(#REF!,"AAAAAH/307s=")</f>
        <v>#REF!</v>
      </c>
      <c r="GG11" t="e">
        <f>AND(#REF!,"AAAAAH/307w=")</f>
        <v>#REF!</v>
      </c>
      <c r="GH11" t="e">
        <f>AND(#REF!,"AAAAAH/3070=")</f>
        <v>#REF!</v>
      </c>
      <c r="GI11" t="e">
        <f>AND(#REF!,"AAAAAH/3074=")</f>
        <v>#REF!</v>
      </c>
      <c r="GJ11" t="e">
        <f>AND(#REF!,"AAAAAH/3078=")</f>
        <v>#REF!</v>
      </c>
      <c r="GK11" t="e">
        <f>AND(#REF!,"AAAAAH/308A=")</f>
        <v>#REF!</v>
      </c>
      <c r="GL11" t="e">
        <f>AND(#REF!,"AAAAAH/308E=")</f>
        <v>#REF!</v>
      </c>
      <c r="GM11" t="e">
        <f>AND(#REF!,"AAAAAH/308I=")</f>
        <v>#REF!</v>
      </c>
      <c r="GN11" t="e">
        <f>AND(#REF!,"AAAAAH/308M=")</f>
        <v>#REF!</v>
      </c>
      <c r="GO11" t="e">
        <f>IF(#REF!,"AAAAAH/308Q=",0)</f>
        <v>#REF!</v>
      </c>
      <c r="GP11" t="e">
        <f>AND(#REF!,"AAAAAH/308U=")</f>
        <v>#REF!</v>
      </c>
      <c r="GQ11" t="e">
        <f>AND(#REF!,"AAAAAH/308Y=")</f>
        <v>#REF!</v>
      </c>
      <c r="GR11" t="e">
        <f>AND(#REF!,"AAAAAH/308c=")</f>
        <v>#REF!</v>
      </c>
      <c r="GS11" t="e">
        <f>AND(#REF!,"AAAAAH/308g=")</f>
        <v>#REF!</v>
      </c>
      <c r="GT11" t="e">
        <f>AND(#REF!,"AAAAAH/308k=")</f>
        <v>#REF!</v>
      </c>
      <c r="GU11" t="e">
        <f>AND(#REF!,"AAAAAH/308o=")</f>
        <v>#REF!</v>
      </c>
      <c r="GV11" t="e">
        <f>AND(#REF!,"AAAAAH/308s=")</f>
        <v>#REF!</v>
      </c>
      <c r="GW11" t="e">
        <f>AND(#REF!,"AAAAAH/308w=")</f>
        <v>#REF!</v>
      </c>
      <c r="GX11" t="e">
        <f>AND(#REF!,"AAAAAH/3080=")</f>
        <v>#REF!</v>
      </c>
      <c r="GY11" t="e">
        <f>AND(#REF!,"AAAAAH/3084=")</f>
        <v>#REF!</v>
      </c>
      <c r="GZ11" t="e">
        <f>AND(#REF!,"AAAAAH/3088=")</f>
        <v>#REF!</v>
      </c>
      <c r="HA11" t="e">
        <f>AND(#REF!,"AAAAAH/309A=")</f>
        <v>#REF!</v>
      </c>
      <c r="HB11" t="e">
        <f>AND(#REF!,"AAAAAH/309E=")</f>
        <v>#REF!</v>
      </c>
      <c r="HC11" t="e">
        <f>IF(#REF!,"AAAAAH/309I=",0)</f>
        <v>#REF!</v>
      </c>
      <c r="HD11" t="e">
        <f>AND(#REF!,"AAAAAH/309M=")</f>
        <v>#REF!</v>
      </c>
      <c r="HE11" t="e">
        <f>AND(#REF!,"AAAAAH/309Q=")</f>
        <v>#REF!</v>
      </c>
      <c r="HF11" t="e">
        <f>AND(#REF!,"AAAAAH/309U=")</f>
        <v>#REF!</v>
      </c>
      <c r="HG11" t="e">
        <f>AND(#REF!,"AAAAAH/309Y=")</f>
        <v>#REF!</v>
      </c>
      <c r="HH11" t="e">
        <f>AND(#REF!,"AAAAAH/309c=")</f>
        <v>#REF!</v>
      </c>
      <c r="HI11" t="e">
        <f>AND(#REF!,"AAAAAH/309g=")</f>
        <v>#REF!</v>
      </c>
      <c r="HJ11" t="e">
        <f>AND(#REF!,"AAAAAH/309k=")</f>
        <v>#REF!</v>
      </c>
      <c r="HK11" t="e">
        <f>AND(#REF!,"AAAAAH/309o=")</f>
        <v>#REF!</v>
      </c>
      <c r="HL11" t="e">
        <f>AND(#REF!,"AAAAAH/309s=")</f>
        <v>#REF!</v>
      </c>
      <c r="HM11" t="e">
        <f>AND(#REF!,"AAAAAH/309w=")</f>
        <v>#REF!</v>
      </c>
      <c r="HN11" t="e">
        <f>AND(#REF!,"AAAAAH/3090=")</f>
        <v>#REF!</v>
      </c>
      <c r="HO11" t="e">
        <f>AND(#REF!,"AAAAAH/3094=")</f>
        <v>#REF!</v>
      </c>
      <c r="HP11" t="e">
        <f>AND(#REF!,"AAAAAH/3098=")</f>
        <v>#REF!</v>
      </c>
      <c r="HQ11" t="e">
        <f>IF(#REF!,"AAAAAH/30+A=",0)</f>
        <v>#REF!</v>
      </c>
      <c r="HR11" t="e">
        <f>AND(#REF!,"AAAAAH/30+E=")</f>
        <v>#REF!</v>
      </c>
      <c r="HS11" t="e">
        <f>AND(#REF!,"AAAAAH/30+I=")</f>
        <v>#REF!</v>
      </c>
      <c r="HT11" t="e">
        <f>AND(#REF!,"AAAAAH/30+M=")</f>
        <v>#REF!</v>
      </c>
      <c r="HU11" t="e">
        <f>AND(#REF!,"AAAAAH/30+Q=")</f>
        <v>#REF!</v>
      </c>
      <c r="HV11" t="e">
        <f>AND(#REF!,"AAAAAH/30+U=")</f>
        <v>#REF!</v>
      </c>
      <c r="HW11" t="e">
        <f>AND(#REF!,"AAAAAH/30+Y=")</f>
        <v>#REF!</v>
      </c>
      <c r="HX11" t="e">
        <f>AND(#REF!,"AAAAAH/30+c=")</f>
        <v>#REF!</v>
      </c>
      <c r="HY11" t="e">
        <f>AND(#REF!,"AAAAAH/30+g=")</f>
        <v>#REF!</v>
      </c>
      <c r="HZ11" t="e">
        <f>AND(#REF!,"AAAAAH/30+k=")</f>
        <v>#REF!</v>
      </c>
      <c r="IA11" t="e">
        <f>AND(#REF!,"AAAAAH/30+o=")</f>
        <v>#REF!</v>
      </c>
      <c r="IB11" t="e">
        <f>AND(#REF!,"AAAAAH/30+s=")</f>
        <v>#REF!</v>
      </c>
      <c r="IC11" t="e">
        <f>AND(#REF!,"AAAAAH/30+w=")</f>
        <v>#REF!</v>
      </c>
      <c r="ID11" t="e">
        <f>AND(#REF!,"AAAAAH/30+0=")</f>
        <v>#REF!</v>
      </c>
      <c r="IE11" t="e">
        <f>IF(#REF!,"AAAAAH/30+4=",0)</f>
        <v>#REF!</v>
      </c>
      <c r="IF11" t="e">
        <f>AND(#REF!,"AAAAAH/30+8=")</f>
        <v>#REF!</v>
      </c>
      <c r="IG11" t="e">
        <f>AND(#REF!,"AAAAAH/30/A=")</f>
        <v>#REF!</v>
      </c>
      <c r="IH11" t="e">
        <f>AND(#REF!,"AAAAAH/30/E=")</f>
        <v>#REF!</v>
      </c>
      <c r="II11" t="e">
        <f>AND(#REF!,"AAAAAH/30/I=")</f>
        <v>#REF!</v>
      </c>
      <c r="IJ11" t="e">
        <f>AND(#REF!,"AAAAAH/30/M=")</f>
        <v>#REF!</v>
      </c>
      <c r="IK11" t="e">
        <f>AND(#REF!,"AAAAAH/30/Q=")</f>
        <v>#REF!</v>
      </c>
      <c r="IL11" t="e">
        <f>AND(#REF!,"AAAAAH/30/U=")</f>
        <v>#REF!</v>
      </c>
      <c r="IM11" t="e">
        <f>AND(#REF!,"AAAAAH/30/Y=")</f>
        <v>#REF!</v>
      </c>
      <c r="IN11" t="e">
        <f>IF(#REF!,"AAAAAH/30/c=",0)</f>
        <v>#REF!</v>
      </c>
      <c r="IO11" t="e">
        <f>AND(#REF!,"AAAAAH/30/g=")</f>
        <v>#REF!</v>
      </c>
      <c r="IP11" t="e">
        <f>AND(#REF!,"AAAAAH/30/k=")</f>
        <v>#REF!</v>
      </c>
      <c r="IQ11" t="e">
        <f>AND(#REF!,"AAAAAH/30/o=")</f>
        <v>#REF!</v>
      </c>
      <c r="IR11" t="e">
        <f>AND(#REF!,"AAAAAH/30/s=")</f>
        <v>#REF!</v>
      </c>
      <c r="IS11" t="e">
        <f>AND(#REF!,"AAAAAH/30/w=")</f>
        <v>#REF!</v>
      </c>
      <c r="IT11" t="e">
        <f>AND(#REF!,"AAAAAH/30/0=")</f>
        <v>#REF!</v>
      </c>
      <c r="IU11" t="e">
        <f>AND(#REF!,"AAAAAH/30/4=")</f>
        <v>#REF!</v>
      </c>
      <c r="IV11" t="e">
        <f>AND(#REF!,"AAAAAH/30/8=")</f>
        <v>#REF!</v>
      </c>
    </row>
    <row r="12" spans="1:256" x14ac:dyDescent="0.35">
      <c r="A12" t="e">
        <f>IF(#REF!,"AAAAADx//QA=",0)</f>
        <v>#REF!</v>
      </c>
      <c r="B12" t="e">
        <f>AND(#REF!,"AAAAADx//QE=")</f>
        <v>#REF!</v>
      </c>
      <c r="C12" t="e">
        <f>AND(#REF!,"AAAAADx//QI=")</f>
        <v>#REF!</v>
      </c>
      <c r="D12" t="e">
        <f>AND(#REF!,"AAAAADx//QM=")</f>
        <v>#REF!</v>
      </c>
      <c r="E12" t="e">
        <f>AND(#REF!,"AAAAADx//QQ=")</f>
        <v>#REF!</v>
      </c>
      <c r="F12" t="e">
        <f>AND(#REF!,"AAAAADx//QU=")</f>
        <v>#REF!</v>
      </c>
      <c r="G12" t="e">
        <f>AND(#REF!,"AAAAADx//QY=")</f>
        <v>#REF!</v>
      </c>
      <c r="H12" t="e">
        <f>AND(#REF!,"AAAAADx//Qc=")</f>
        <v>#REF!</v>
      </c>
      <c r="I12" t="e">
        <f>AND(#REF!,"AAAAADx//Qg=")</f>
        <v>#REF!</v>
      </c>
      <c r="J12" t="e">
        <f>IF(#REF!,"AAAAADx//Qk=",0)</f>
        <v>#REF!</v>
      </c>
      <c r="K12" t="e">
        <f>AND(#REF!,"AAAAADx//Qo=")</f>
        <v>#REF!</v>
      </c>
      <c r="L12" t="e">
        <f>AND(#REF!,"AAAAADx//Qs=")</f>
        <v>#REF!</v>
      </c>
      <c r="M12" t="e">
        <f>AND(#REF!,"AAAAADx//Qw=")</f>
        <v>#REF!</v>
      </c>
      <c r="N12" t="e">
        <f>AND(#REF!,"AAAAADx//Q0=")</f>
        <v>#REF!</v>
      </c>
      <c r="O12" t="e">
        <f>AND(#REF!,"AAAAADx//Q4=")</f>
        <v>#REF!</v>
      </c>
      <c r="P12" t="e">
        <f>AND(#REF!,"AAAAADx//Q8=")</f>
        <v>#REF!</v>
      </c>
      <c r="Q12" t="e">
        <f>AND(#REF!,"AAAAADx//RA=")</f>
        <v>#REF!</v>
      </c>
      <c r="R12" t="e">
        <f>AND(#REF!,"AAAAADx//RE=")</f>
        <v>#REF!</v>
      </c>
      <c r="S12" t="e">
        <f>IF(#REF!,"AAAAADx//RI=",0)</f>
        <v>#REF!</v>
      </c>
      <c r="T12" t="e">
        <f>AND(#REF!,"AAAAADx//RM=")</f>
        <v>#REF!</v>
      </c>
      <c r="U12" t="e">
        <f>AND(#REF!,"AAAAADx//RQ=")</f>
        <v>#REF!</v>
      </c>
      <c r="V12" t="e">
        <f>AND(#REF!,"AAAAADx//RU=")</f>
        <v>#REF!</v>
      </c>
      <c r="W12" t="e">
        <f>AND(#REF!,"AAAAADx//RY=")</f>
        <v>#REF!</v>
      </c>
      <c r="X12" t="e">
        <f>AND(#REF!,"AAAAADx//Rc=")</f>
        <v>#REF!</v>
      </c>
      <c r="Y12" t="e">
        <f>AND(#REF!,"AAAAADx//Rg=")</f>
        <v>#REF!</v>
      </c>
      <c r="Z12" t="e">
        <f>AND(#REF!,"AAAAADx//Rk=")</f>
        <v>#REF!</v>
      </c>
      <c r="AA12" t="e">
        <f>AND(#REF!,"AAAAADx//Ro=")</f>
        <v>#REF!</v>
      </c>
      <c r="AB12" t="e">
        <f>IF(#REF!,"AAAAADx//Rs=",0)</f>
        <v>#REF!</v>
      </c>
      <c r="AC12" t="e">
        <f>AND(#REF!,"AAAAADx//Rw=")</f>
        <v>#REF!</v>
      </c>
      <c r="AD12" t="e">
        <f>AND(#REF!,"AAAAADx//R0=")</f>
        <v>#REF!</v>
      </c>
      <c r="AE12" t="e">
        <f>AND(#REF!,"AAAAADx//R4=")</f>
        <v>#REF!</v>
      </c>
      <c r="AF12" t="e">
        <f>AND(#REF!,"AAAAADx//R8=")</f>
        <v>#REF!</v>
      </c>
      <c r="AG12" t="e">
        <f>AND(#REF!,"AAAAADx//SA=")</f>
        <v>#REF!</v>
      </c>
      <c r="AH12" t="e">
        <f>AND(#REF!,"AAAAADx//SE=")</f>
        <v>#REF!</v>
      </c>
      <c r="AI12" t="e">
        <f>AND(#REF!,"AAAAADx//SI=")</f>
        <v>#REF!</v>
      </c>
      <c r="AJ12" t="e">
        <f>AND(#REF!,"AAAAADx//SM=")</f>
        <v>#REF!</v>
      </c>
      <c r="AK12" t="e">
        <f>IF(#REF!,"AAAAADx//SQ=",0)</f>
        <v>#REF!</v>
      </c>
      <c r="AL12" t="e">
        <f>AND(#REF!,"AAAAADx//SU=")</f>
        <v>#REF!</v>
      </c>
      <c r="AM12" t="e">
        <f>AND(#REF!,"AAAAADx//SY=")</f>
        <v>#REF!</v>
      </c>
      <c r="AN12" t="e">
        <f>AND(#REF!,"AAAAADx//Sc=")</f>
        <v>#REF!</v>
      </c>
      <c r="AO12" t="e">
        <f>AND(#REF!,"AAAAADx//Sg=")</f>
        <v>#REF!</v>
      </c>
      <c r="AP12" t="e">
        <f>AND(#REF!,"AAAAADx//Sk=")</f>
        <v>#REF!</v>
      </c>
      <c r="AQ12" t="e">
        <f>AND(#REF!,"AAAAADx//So=")</f>
        <v>#REF!</v>
      </c>
      <c r="AR12" t="e">
        <f>AND(#REF!,"AAAAADx//Ss=")</f>
        <v>#REF!</v>
      </c>
      <c r="AS12" t="e">
        <f>AND(#REF!,"AAAAADx//Sw=")</f>
        <v>#REF!</v>
      </c>
      <c r="AT12" t="e">
        <f>IF(#REF!,"AAAAADx//S0=",0)</f>
        <v>#REF!</v>
      </c>
      <c r="AU12" t="e">
        <f>AND(#REF!,"AAAAADx//S4=")</f>
        <v>#REF!</v>
      </c>
      <c r="AV12" t="e">
        <f>AND(#REF!,"AAAAADx//S8=")</f>
        <v>#REF!</v>
      </c>
      <c r="AW12" t="e">
        <f>AND(#REF!,"AAAAADx//TA=")</f>
        <v>#REF!</v>
      </c>
      <c r="AX12" t="e">
        <f>AND(#REF!,"AAAAADx//TE=")</f>
        <v>#REF!</v>
      </c>
      <c r="AY12" t="e">
        <f>AND(#REF!,"AAAAADx//TI=")</f>
        <v>#REF!</v>
      </c>
      <c r="AZ12" t="e">
        <f>AND(#REF!,"AAAAADx//TM=")</f>
        <v>#REF!</v>
      </c>
      <c r="BA12" t="e">
        <f>AND(#REF!,"AAAAADx//TQ=")</f>
        <v>#REF!</v>
      </c>
      <c r="BB12" t="e">
        <f>AND(#REF!,"AAAAADx//TU=")</f>
        <v>#REF!</v>
      </c>
      <c r="BC12" t="e">
        <f>IF(#REF!,"AAAAADx//TY=",0)</f>
        <v>#REF!</v>
      </c>
      <c r="BD12" t="e">
        <f>AND(#REF!,"AAAAADx//Tc=")</f>
        <v>#REF!</v>
      </c>
      <c r="BE12" t="e">
        <f>AND(#REF!,"AAAAADx//Tg=")</f>
        <v>#REF!</v>
      </c>
      <c r="BF12" t="e">
        <f>AND(#REF!,"AAAAADx//Tk=")</f>
        <v>#REF!</v>
      </c>
      <c r="BG12" t="e">
        <f>AND(#REF!,"AAAAADx//To=")</f>
        <v>#REF!</v>
      </c>
      <c r="BH12" t="e">
        <f>AND(#REF!,"AAAAADx//Ts=")</f>
        <v>#REF!</v>
      </c>
      <c r="BI12" t="e">
        <f>AND(#REF!,"AAAAADx//Tw=")</f>
        <v>#REF!</v>
      </c>
      <c r="BJ12" t="e">
        <f>AND(#REF!,"AAAAADx//T0=")</f>
        <v>#REF!</v>
      </c>
      <c r="BK12" t="e">
        <f>AND(#REF!,"AAAAADx//T4=")</f>
        <v>#REF!</v>
      </c>
      <c r="BL12" t="e">
        <f>IF(#REF!,"AAAAADx//T8=",0)</f>
        <v>#REF!</v>
      </c>
      <c r="BM12" t="e">
        <f>AND(#REF!,"AAAAADx//UA=")</f>
        <v>#REF!</v>
      </c>
      <c r="BN12" t="e">
        <f>AND(#REF!,"AAAAADx//UE=")</f>
        <v>#REF!</v>
      </c>
      <c r="BO12" t="e">
        <f>AND(#REF!,"AAAAADx//UI=")</f>
        <v>#REF!</v>
      </c>
      <c r="BP12" t="e">
        <f>AND(#REF!,"AAAAADx//UM=")</f>
        <v>#REF!</v>
      </c>
      <c r="BQ12" t="e">
        <f>AND(#REF!,"AAAAADx//UQ=")</f>
        <v>#REF!</v>
      </c>
      <c r="BR12" t="e">
        <f>AND(#REF!,"AAAAADx//UU=")</f>
        <v>#REF!</v>
      </c>
      <c r="BS12" t="e">
        <f>AND(#REF!,"AAAAADx//UY=")</f>
        <v>#REF!</v>
      </c>
      <c r="BT12" t="e">
        <f>AND(#REF!,"AAAAADx//Uc=")</f>
        <v>#REF!</v>
      </c>
      <c r="BU12" t="e">
        <f>IF(#REF!,"AAAAADx//Ug=",0)</f>
        <v>#REF!</v>
      </c>
      <c r="BV12" t="e">
        <f>AND(#REF!,"AAAAADx//Uk=")</f>
        <v>#REF!</v>
      </c>
      <c r="BW12" t="e">
        <f>AND(#REF!,"AAAAADx//Uo=")</f>
        <v>#REF!</v>
      </c>
      <c r="BX12" t="e">
        <f>AND(#REF!,"AAAAADx//Us=")</f>
        <v>#REF!</v>
      </c>
      <c r="BY12" t="e">
        <f>AND(#REF!,"AAAAADx//Uw=")</f>
        <v>#REF!</v>
      </c>
      <c r="BZ12" t="e">
        <f>AND(#REF!,"AAAAADx//U0=")</f>
        <v>#REF!</v>
      </c>
      <c r="CA12" t="e">
        <f>AND(#REF!,"AAAAADx//U4=")</f>
        <v>#REF!</v>
      </c>
      <c r="CB12" t="e">
        <f>AND(#REF!,"AAAAADx//U8=")</f>
        <v>#REF!</v>
      </c>
      <c r="CC12" t="e">
        <f>AND(#REF!,"AAAAADx//VA=")</f>
        <v>#REF!</v>
      </c>
      <c r="CD12" t="e">
        <f>IF(#REF!,"AAAAADx//VE=",0)</f>
        <v>#REF!</v>
      </c>
      <c r="CE12" t="e">
        <f>AND(#REF!,"AAAAADx//VI=")</f>
        <v>#REF!</v>
      </c>
      <c r="CF12" t="e">
        <f>AND(#REF!,"AAAAADx//VM=")</f>
        <v>#REF!</v>
      </c>
      <c r="CG12" t="e">
        <f>AND(#REF!,"AAAAADx//VQ=")</f>
        <v>#REF!</v>
      </c>
      <c r="CH12" t="e">
        <f>AND(#REF!,"AAAAADx//VU=")</f>
        <v>#REF!</v>
      </c>
      <c r="CI12" t="e">
        <f>AND(#REF!,"AAAAADx//VY=")</f>
        <v>#REF!</v>
      </c>
      <c r="CJ12" t="e">
        <f>AND(#REF!,"AAAAADx//Vc=")</f>
        <v>#REF!</v>
      </c>
      <c r="CK12" t="e">
        <f>AND(#REF!,"AAAAADx//Vg=")</f>
        <v>#REF!</v>
      </c>
      <c r="CL12" t="e">
        <f>AND(#REF!,"AAAAADx//Vk=")</f>
        <v>#REF!</v>
      </c>
      <c r="CM12" t="e">
        <f>IF(#REF!,"AAAAADx//Vo=",0)</f>
        <v>#REF!</v>
      </c>
      <c r="CN12" t="e">
        <f>AND(#REF!,"AAAAADx//Vs=")</f>
        <v>#REF!</v>
      </c>
      <c r="CO12" t="e">
        <f>AND(#REF!,"AAAAADx//Vw=")</f>
        <v>#REF!</v>
      </c>
      <c r="CP12" t="e">
        <f>AND(#REF!,"AAAAADx//V0=")</f>
        <v>#REF!</v>
      </c>
      <c r="CQ12" t="e">
        <f>AND(#REF!,"AAAAADx//V4=")</f>
        <v>#REF!</v>
      </c>
      <c r="CR12" t="e">
        <f>AND(#REF!,"AAAAADx//V8=")</f>
        <v>#REF!</v>
      </c>
      <c r="CS12" t="e">
        <f>AND(#REF!,"AAAAADx//WA=")</f>
        <v>#REF!</v>
      </c>
      <c r="CT12" t="e">
        <f>AND(#REF!,"AAAAADx//WE=")</f>
        <v>#REF!</v>
      </c>
      <c r="CU12" t="e">
        <f>AND(#REF!,"AAAAADx//WI=")</f>
        <v>#REF!</v>
      </c>
      <c r="CV12" t="e">
        <f>IF(#REF!,"AAAAADx//WM=",0)</f>
        <v>#REF!</v>
      </c>
      <c r="CW12" t="e">
        <f>AND(#REF!,"AAAAADx//WQ=")</f>
        <v>#REF!</v>
      </c>
      <c r="CX12" t="e">
        <f>AND(#REF!,"AAAAADx//WU=")</f>
        <v>#REF!</v>
      </c>
      <c r="CY12" t="e">
        <f>AND(#REF!,"AAAAADx//WY=")</f>
        <v>#REF!</v>
      </c>
      <c r="CZ12" t="e">
        <f>AND(#REF!,"AAAAADx//Wc=")</f>
        <v>#REF!</v>
      </c>
      <c r="DA12" t="e">
        <f>AND(#REF!,"AAAAADx//Wg=")</f>
        <v>#REF!</v>
      </c>
      <c r="DB12" t="e">
        <f>AND(#REF!,"AAAAADx//Wk=")</f>
        <v>#REF!</v>
      </c>
      <c r="DC12" t="e">
        <f>AND(#REF!,"AAAAADx//Wo=")</f>
        <v>#REF!</v>
      </c>
      <c r="DD12" t="e">
        <f>AND(#REF!,"AAAAADx//Ws=")</f>
        <v>#REF!</v>
      </c>
      <c r="DE12" t="e">
        <f>IF(#REF!,"AAAAADx//Ww=",0)</f>
        <v>#REF!</v>
      </c>
      <c r="DF12" t="e">
        <f>AND(#REF!,"AAAAADx//W0=")</f>
        <v>#REF!</v>
      </c>
      <c r="DG12" t="e">
        <f>AND(#REF!,"AAAAADx//W4=")</f>
        <v>#REF!</v>
      </c>
      <c r="DH12" t="e">
        <f>AND(#REF!,"AAAAADx//W8=")</f>
        <v>#REF!</v>
      </c>
      <c r="DI12" t="e">
        <f>AND(#REF!,"AAAAADx//XA=")</f>
        <v>#REF!</v>
      </c>
      <c r="DJ12" t="e">
        <f>AND(#REF!,"AAAAADx//XE=")</f>
        <v>#REF!</v>
      </c>
      <c r="DK12" t="e">
        <f>AND(#REF!,"AAAAADx//XI=")</f>
        <v>#REF!</v>
      </c>
      <c r="DL12" t="e">
        <f>AND(#REF!,"AAAAADx//XM=")</f>
        <v>#REF!</v>
      </c>
      <c r="DM12" t="e">
        <f>AND(#REF!,"AAAAADx//XQ=")</f>
        <v>#REF!</v>
      </c>
      <c r="DN12" t="e">
        <f>IF(#REF!,"AAAAADx//XU=",0)</f>
        <v>#REF!</v>
      </c>
      <c r="DO12" t="e">
        <f>AND(#REF!,"AAAAADx//XY=")</f>
        <v>#REF!</v>
      </c>
      <c r="DP12" t="e">
        <f>AND(#REF!,"AAAAADx//Xc=")</f>
        <v>#REF!</v>
      </c>
      <c r="DQ12" t="e">
        <f>AND(#REF!,"AAAAADx//Xg=")</f>
        <v>#REF!</v>
      </c>
      <c r="DR12" t="e">
        <f>AND(#REF!,"AAAAADx//Xk=")</f>
        <v>#REF!</v>
      </c>
      <c r="DS12" t="e">
        <f>AND(#REF!,"AAAAADx//Xo=")</f>
        <v>#REF!</v>
      </c>
      <c r="DT12" t="e">
        <f>AND(#REF!,"AAAAADx//Xs=")</f>
        <v>#REF!</v>
      </c>
      <c r="DU12" t="e">
        <f>AND(#REF!,"AAAAADx//Xw=")</f>
        <v>#REF!</v>
      </c>
      <c r="DV12" t="e">
        <f>AND(#REF!,"AAAAADx//X0=")</f>
        <v>#REF!</v>
      </c>
      <c r="DW12" t="e">
        <f>IF(#REF!,"AAAAADx//X4=",0)</f>
        <v>#REF!</v>
      </c>
      <c r="DX12" t="e">
        <f>AND(#REF!,"AAAAADx//X8=")</f>
        <v>#REF!</v>
      </c>
      <c r="DY12" t="e">
        <f>AND(#REF!,"AAAAADx//YA=")</f>
        <v>#REF!</v>
      </c>
      <c r="DZ12" t="e">
        <f>AND(#REF!,"AAAAADx//YE=")</f>
        <v>#REF!</v>
      </c>
      <c r="EA12" t="e">
        <f>AND(#REF!,"AAAAADx//YI=")</f>
        <v>#REF!</v>
      </c>
      <c r="EB12" t="e">
        <f>AND(#REF!,"AAAAADx//YM=")</f>
        <v>#REF!</v>
      </c>
      <c r="EC12" t="e">
        <f>AND(#REF!,"AAAAADx//YQ=")</f>
        <v>#REF!</v>
      </c>
      <c r="ED12" t="e">
        <f>AND(#REF!,"AAAAADx//YU=")</f>
        <v>#REF!</v>
      </c>
      <c r="EE12" t="e">
        <f>AND(#REF!,"AAAAADx//YY=")</f>
        <v>#REF!</v>
      </c>
      <c r="EF12" t="e">
        <f>IF(#REF!,"AAAAADx//Yc=",0)</f>
        <v>#REF!</v>
      </c>
      <c r="EG12" t="e">
        <f>AND(#REF!,"AAAAADx//Yg=")</f>
        <v>#REF!</v>
      </c>
      <c r="EH12" t="e">
        <f>AND(#REF!,"AAAAADx//Yk=")</f>
        <v>#REF!</v>
      </c>
      <c r="EI12" t="e">
        <f>AND(#REF!,"AAAAADx//Yo=")</f>
        <v>#REF!</v>
      </c>
      <c r="EJ12" t="e">
        <f>AND(#REF!,"AAAAADx//Ys=")</f>
        <v>#REF!</v>
      </c>
      <c r="EK12" t="e">
        <f>AND(#REF!,"AAAAADx//Yw=")</f>
        <v>#REF!</v>
      </c>
      <c r="EL12" t="e">
        <f>AND(#REF!,"AAAAADx//Y0=")</f>
        <v>#REF!</v>
      </c>
      <c r="EM12" t="e">
        <f>AND(#REF!,"AAAAADx//Y4=")</f>
        <v>#REF!</v>
      </c>
      <c r="EN12" t="e">
        <f>AND(#REF!,"AAAAADx//Y8=")</f>
        <v>#REF!</v>
      </c>
      <c r="EO12" t="e">
        <f>IF(#REF!,"AAAAADx//ZA=",0)</f>
        <v>#REF!</v>
      </c>
      <c r="EP12" t="e">
        <f>AND(#REF!,"AAAAADx//ZE=")</f>
        <v>#REF!</v>
      </c>
      <c r="EQ12" t="e">
        <f>AND(#REF!,"AAAAADx//ZI=")</f>
        <v>#REF!</v>
      </c>
      <c r="ER12" t="e">
        <f>AND(#REF!,"AAAAADx//ZM=")</f>
        <v>#REF!</v>
      </c>
      <c r="ES12" t="e">
        <f>AND(#REF!,"AAAAADx//ZQ=")</f>
        <v>#REF!</v>
      </c>
      <c r="ET12" t="e">
        <f>AND(#REF!,"AAAAADx//ZU=")</f>
        <v>#REF!</v>
      </c>
      <c r="EU12" t="e">
        <f>AND(#REF!,"AAAAADx//ZY=")</f>
        <v>#REF!</v>
      </c>
      <c r="EV12" t="e">
        <f>AND(#REF!,"AAAAADx//Zc=")</f>
        <v>#REF!</v>
      </c>
      <c r="EW12" t="e">
        <f>AND(#REF!,"AAAAADx//Zg=")</f>
        <v>#REF!</v>
      </c>
      <c r="EX12" t="e">
        <f>IF(#REF!,"AAAAADx//Zk=",0)</f>
        <v>#REF!</v>
      </c>
      <c r="EY12" t="e">
        <f>AND(#REF!,"AAAAADx//Zo=")</f>
        <v>#REF!</v>
      </c>
      <c r="EZ12" t="e">
        <f>AND(#REF!,"AAAAADx//Zs=")</f>
        <v>#REF!</v>
      </c>
      <c r="FA12" t="e">
        <f>AND(#REF!,"AAAAADx//Zw=")</f>
        <v>#REF!</v>
      </c>
      <c r="FB12" t="e">
        <f>AND(#REF!,"AAAAADx//Z0=")</f>
        <v>#REF!</v>
      </c>
      <c r="FC12" t="e">
        <f>AND(#REF!,"AAAAADx//Z4=")</f>
        <v>#REF!</v>
      </c>
      <c r="FD12" t="e">
        <f>AND(#REF!,"AAAAADx//Z8=")</f>
        <v>#REF!</v>
      </c>
      <c r="FE12" t="e">
        <f>AND(#REF!,"AAAAADx//aA=")</f>
        <v>#REF!</v>
      </c>
      <c r="FF12" t="e">
        <f>AND(#REF!,"AAAAADx//aE=")</f>
        <v>#REF!</v>
      </c>
      <c r="FG12" t="e">
        <f>IF(#REF!,"AAAAADx//aI=",0)</f>
        <v>#REF!</v>
      </c>
      <c r="FH12" t="e">
        <f>AND(#REF!,"AAAAADx//aM=")</f>
        <v>#REF!</v>
      </c>
      <c r="FI12" t="e">
        <f>AND(#REF!,"AAAAADx//aQ=")</f>
        <v>#REF!</v>
      </c>
      <c r="FJ12" t="e">
        <f>AND(#REF!,"AAAAADx//aU=")</f>
        <v>#REF!</v>
      </c>
      <c r="FK12" t="e">
        <f>AND(#REF!,"AAAAADx//aY=")</f>
        <v>#REF!</v>
      </c>
      <c r="FL12" t="e">
        <f>AND(#REF!,"AAAAADx//ac=")</f>
        <v>#REF!</v>
      </c>
      <c r="FM12" t="e">
        <f>AND(#REF!,"AAAAADx//ag=")</f>
        <v>#REF!</v>
      </c>
      <c r="FN12" t="e">
        <f>AND(#REF!,"AAAAADx//ak=")</f>
        <v>#REF!</v>
      </c>
      <c r="FO12" t="e">
        <f>AND(#REF!,"AAAAADx//ao=")</f>
        <v>#REF!</v>
      </c>
      <c r="FP12" t="e">
        <f>IF(#REF!,"AAAAADx//as=",0)</f>
        <v>#REF!</v>
      </c>
      <c r="FQ12" t="e">
        <f>AND(#REF!,"AAAAADx//aw=")</f>
        <v>#REF!</v>
      </c>
      <c r="FR12" t="e">
        <f>AND(#REF!,"AAAAADx//a0=")</f>
        <v>#REF!</v>
      </c>
      <c r="FS12" t="e">
        <f>AND(#REF!,"AAAAADx//a4=")</f>
        <v>#REF!</v>
      </c>
      <c r="FT12" t="e">
        <f>AND(#REF!,"AAAAADx//a8=")</f>
        <v>#REF!</v>
      </c>
      <c r="FU12" t="e">
        <f>AND(#REF!,"AAAAADx//bA=")</f>
        <v>#REF!</v>
      </c>
      <c r="FV12" t="e">
        <f>AND(#REF!,"AAAAADx//bE=")</f>
        <v>#REF!</v>
      </c>
      <c r="FW12" t="e">
        <f>AND(#REF!,"AAAAADx//bI=")</f>
        <v>#REF!</v>
      </c>
      <c r="FX12" t="e">
        <f>AND(#REF!,"AAAAADx//bM=")</f>
        <v>#REF!</v>
      </c>
      <c r="FY12" t="e">
        <f>IF(#REF!,"AAAAADx//bQ=",0)</f>
        <v>#REF!</v>
      </c>
      <c r="FZ12" t="e">
        <f>AND(#REF!,"AAAAADx//bU=")</f>
        <v>#REF!</v>
      </c>
      <c r="GA12" t="e">
        <f>AND(#REF!,"AAAAADx//bY=")</f>
        <v>#REF!</v>
      </c>
      <c r="GB12" t="e">
        <f>AND(#REF!,"AAAAADx//bc=")</f>
        <v>#REF!</v>
      </c>
      <c r="GC12" t="e">
        <f>AND(#REF!,"AAAAADx//bg=")</f>
        <v>#REF!</v>
      </c>
      <c r="GD12" t="e">
        <f>AND(#REF!,"AAAAADx//bk=")</f>
        <v>#REF!</v>
      </c>
      <c r="GE12" t="e">
        <f>AND(#REF!,"AAAAADx//bo=")</f>
        <v>#REF!</v>
      </c>
      <c r="GF12" t="e">
        <f>AND(#REF!,"AAAAADx//bs=")</f>
        <v>#REF!</v>
      </c>
      <c r="GG12" t="e">
        <f>AND(#REF!,"AAAAADx//bw=")</f>
        <v>#REF!</v>
      </c>
      <c r="GH12" t="e">
        <f>IF(#REF!,"AAAAADx//b0=",0)</f>
        <v>#REF!</v>
      </c>
      <c r="GI12" t="e">
        <f>AND(#REF!,"AAAAADx//b4=")</f>
        <v>#REF!</v>
      </c>
      <c r="GJ12" t="e">
        <f>AND(#REF!,"AAAAADx//b8=")</f>
        <v>#REF!</v>
      </c>
      <c r="GK12" t="e">
        <f>AND(#REF!,"AAAAADx//cA=")</f>
        <v>#REF!</v>
      </c>
      <c r="GL12" t="e">
        <f>AND(#REF!,"AAAAADx//cE=")</f>
        <v>#REF!</v>
      </c>
      <c r="GM12" t="e">
        <f>AND(#REF!,"AAAAADx//cI=")</f>
        <v>#REF!</v>
      </c>
      <c r="GN12" t="e">
        <f>AND(#REF!,"AAAAADx//cM=")</f>
        <v>#REF!</v>
      </c>
      <c r="GO12" t="e">
        <f>AND(#REF!,"AAAAADx//cQ=")</f>
        <v>#REF!</v>
      </c>
      <c r="GP12" t="e">
        <f>AND(#REF!,"AAAAADx//cU=")</f>
        <v>#REF!</v>
      </c>
      <c r="GQ12" t="e">
        <f>IF(#REF!,"AAAAADx//cY=",0)</f>
        <v>#REF!</v>
      </c>
      <c r="GR12" t="e">
        <f>AND(#REF!,"AAAAADx//cc=")</f>
        <v>#REF!</v>
      </c>
      <c r="GS12" t="e">
        <f>AND(#REF!,"AAAAADx//cg=")</f>
        <v>#REF!</v>
      </c>
      <c r="GT12" t="e">
        <f>AND(#REF!,"AAAAADx//ck=")</f>
        <v>#REF!</v>
      </c>
      <c r="GU12" t="e">
        <f>AND(#REF!,"AAAAADx//co=")</f>
        <v>#REF!</v>
      </c>
      <c r="GV12" t="e">
        <f>AND(#REF!,"AAAAADx//cs=")</f>
        <v>#REF!</v>
      </c>
      <c r="GW12" t="e">
        <f>AND(#REF!,"AAAAADx//cw=")</f>
        <v>#REF!</v>
      </c>
      <c r="GX12" t="e">
        <f>AND(#REF!,"AAAAADx//c0=")</f>
        <v>#REF!</v>
      </c>
      <c r="GY12" t="e">
        <f>AND(#REF!,"AAAAADx//c4=")</f>
        <v>#REF!</v>
      </c>
      <c r="GZ12" t="e">
        <f>IF(#REF!,"AAAAADx//c8=",0)</f>
        <v>#REF!</v>
      </c>
      <c r="HA12" t="e">
        <f>AND(#REF!,"AAAAADx//dA=")</f>
        <v>#REF!</v>
      </c>
      <c r="HB12" t="e">
        <f>AND(#REF!,"AAAAADx//dE=")</f>
        <v>#REF!</v>
      </c>
      <c r="HC12" t="e">
        <f>AND(#REF!,"AAAAADx//dI=")</f>
        <v>#REF!</v>
      </c>
      <c r="HD12" t="e">
        <f>AND(#REF!,"AAAAADx//dM=")</f>
        <v>#REF!</v>
      </c>
      <c r="HE12" t="e">
        <f>AND(#REF!,"AAAAADx//dQ=")</f>
        <v>#REF!</v>
      </c>
      <c r="HF12" t="e">
        <f>AND(#REF!,"AAAAADx//dU=")</f>
        <v>#REF!</v>
      </c>
      <c r="HG12" t="e">
        <f>AND(#REF!,"AAAAADx//dY=")</f>
        <v>#REF!</v>
      </c>
      <c r="HH12" t="e">
        <f>AND(#REF!,"AAAAADx//dc=")</f>
        <v>#REF!</v>
      </c>
      <c r="HI12" t="e">
        <f>IF(#REF!,"AAAAADx//dg=",0)</f>
        <v>#REF!</v>
      </c>
      <c r="HJ12" t="e">
        <f>AND(#REF!,"AAAAADx//dk=")</f>
        <v>#REF!</v>
      </c>
      <c r="HK12" t="e">
        <f>AND(#REF!,"AAAAADx//do=")</f>
        <v>#REF!</v>
      </c>
      <c r="HL12" t="e">
        <f>AND(#REF!,"AAAAADx//ds=")</f>
        <v>#REF!</v>
      </c>
      <c r="HM12" t="e">
        <f>AND(#REF!,"AAAAADx//dw=")</f>
        <v>#REF!</v>
      </c>
      <c r="HN12" t="e">
        <f>AND(#REF!,"AAAAADx//d0=")</f>
        <v>#REF!</v>
      </c>
      <c r="HO12" t="e">
        <f>AND(#REF!,"AAAAADx//d4=")</f>
        <v>#REF!</v>
      </c>
      <c r="HP12" t="e">
        <f>AND(#REF!,"AAAAADx//d8=")</f>
        <v>#REF!</v>
      </c>
      <c r="HQ12" t="e">
        <f>AND(#REF!,"AAAAADx//eA=")</f>
        <v>#REF!</v>
      </c>
      <c r="HR12" t="e">
        <f>IF(#REF!,"AAAAADx//eE=",0)</f>
        <v>#REF!</v>
      </c>
      <c r="HS12" t="e">
        <f>AND(#REF!,"AAAAADx//eI=")</f>
        <v>#REF!</v>
      </c>
      <c r="HT12" t="e">
        <f>AND(#REF!,"AAAAADx//eM=")</f>
        <v>#REF!</v>
      </c>
      <c r="HU12" t="e">
        <f>AND(#REF!,"AAAAADx//eQ=")</f>
        <v>#REF!</v>
      </c>
      <c r="HV12" t="e">
        <f>AND(#REF!,"AAAAADx//eU=")</f>
        <v>#REF!</v>
      </c>
      <c r="HW12" t="e">
        <f>AND(#REF!,"AAAAADx//eY=")</f>
        <v>#REF!</v>
      </c>
      <c r="HX12" t="e">
        <f>AND(#REF!,"AAAAADx//ec=")</f>
        <v>#REF!</v>
      </c>
      <c r="HY12" t="e">
        <f>AND(#REF!,"AAAAADx//eg=")</f>
        <v>#REF!</v>
      </c>
      <c r="HZ12" t="e">
        <f>AND(#REF!,"AAAAADx//ek=")</f>
        <v>#REF!</v>
      </c>
      <c r="IA12" t="e">
        <f>IF(#REF!,"AAAAADx//eo=",0)</f>
        <v>#REF!</v>
      </c>
      <c r="IB12" t="e">
        <f>AND(#REF!,"AAAAADx//es=")</f>
        <v>#REF!</v>
      </c>
      <c r="IC12" t="e">
        <f>AND(#REF!,"AAAAADx//ew=")</f>
        <v>#REF!</v>
      </c>
      <c r="ID12" t="e">
        <f>AND(#REF!,"AAAAADx//e0=")</f>
        <v>#REF!</v>
      </c>
      <c r="IE12" t="e">
        <f>AND(#REF!,"AAAAADx//e4=")</f>
        <v>#REF!</v>
      </c>
      <c r="IF12" t="e">
        <f>AND(#REF!,"AAAAADx//e8=")</f>
        <v>#REF!</v>
      </c>
      <c r="IG12" t="e">
        <f>AND(#REF!,"AAAAADx//fA=")</f>
        <v>#REF!</v>
      </c>
      <c r="IH12" t="e">
        <f>AND(#REF!,"AAAAADx//fE=")</f>
        <v>#REF!</v>
      </c>
      <c r="II12" t="e">
        <f>AND(#REF!,"AAAAADx//fI=")</f>
        <v>#REF!</v>
      </c>
      <c r="IJ12" t="e">
        <f>IF(#REF!,"AAAAADx//fM=",0)</f>
        <v>#REF!</v>
      </c>
      <c r="IK12" t="e">
        <f>AND(#REF!,"AAAAADx//fQ=")</f>
        <v>#REF!</v>
      </c>
      <c r="IL12" t="e">
        <f>AND(#REF!,"AAAAADx//fU=")</f>
        <v>#REF!</v>
      </c>
      <c r="IM12" t="e">
        <f>AND(#REF!,"AAAAADx//fY=")</f>
        <v>#REF!</v>
      </c>
      <c r="IN12" t="e">
        <f>AND(#REF!,"AAAAADx//fc=")</f>
        <v>#REF!</v>
      </c>
      <c r="IO12" t="e">
        <f>AND(#REF!,"AAAAADx//fg=")</f>
        <v>#REF!</v>
      </c>
      <c r="IP12" t="e">
        <f>AND(#REF!,"AAAAADx//fk=")</f>
        <v>#REF!</v>
      </c>
      <c r="IQ12" t="e">
        <f>AND(#REF!,"AAAAADx//fo=")</f>
        <v>#REF!</v>
      </c>
      <c r="IR12" t="e">
        <f>AND(#REF!,"AAAAADx//fs=")</f>
        <v>#REF!</v>
      </c>
      <c r="IS12" t="e">
        <f>IF(#REF!,"AAAAADx//fw=",0)</f>
        <v>#REF!</v>
      </c>
      <c r="IT12" t="e">
        <f>IF(#REF!,"AAAAADx//f0=",0)</f>
        <v>#REF!</v>
      </c>
      <c r="IU12" t="e">
        <f>IF(#REF!,"AAAAADx//f4=",0)</f>
        <v>#REF!</v>
      </c>
      <c r="IV12" t="e">
        <f>IF(#REF!,"AAAAADx//f8=",0)</f>
        <v>#REF!</v>
      </c>
    </row>
    <row r="13" spans="1:256" x14ac:dyDescent="0.35">
      <c r="A13" t="e">
        <f>IF(#REF!,"AAAAAFrc/wA=",0)</f>
        <v>#REF!</v>
      </c>
      <c r="B13" t="e">
        <f>IF(#REF!,"AAAAAFrc/wE=",0)</f>
        <v>#REF!</v>
      </c>
      <c r="C13" t="e">
        <f>IF(#REF!,"AAAAAFrc/wI=",0)</f>
        <v>#REF!</v>
      </c>
      <c r="D13" t="e">
        <f>IF(#REF!,"AAAAAFrc/wM=",0)</f>
        <v>#REF!</v>
      </c>
      <c r="E13" t="e">
        <f>IF(#REF!,"AAAAAFrc/wQ=",0)</f>
        <v>#REF!</v>
      </c>
      <c r="F13" t="e">
        <f>IF(#REF!,"AAAAAFrc/wU=",0)</f>
        <v>#REF!</v>
      </c>
      <c r="G13" t="e">
        <f>IF(#REF!,"AAAAAFrc/wY=",0)</f>
        <v>#REF!</v>
      </c>
      <c r="H13" t="e">
        <f>IF(#REF!,"AAAAAFrc/wc=",0)</f>
        <v>#REF!</v>
      </c>
      <c r="I13" t="e">
        <f>IF(#REF!,"AAAAAFrc/wg=",0)</f>
        <v>#REF!</v>
      </c>
      <c r="J13" t="e">
        <f>IF(#REF!,"AAAAAFrc/wk=",0)</f>
        <v>#REF!</v>
      </c>
      <c r="K13" t="e">
        <f>AND(#REF!,"AAAAAFrc/wo=")</f>
        <v>#REF!</v>
      </c>
      <c r="L13" t="e">
        <f>AND(#REF!,"AAAAAFrc/ws=")</f>
        <v>#REF!</v>
      </c>
      <c r="M13" t="e">
        <f>AND(#REF!,"AAAAAFrc/ww=")</f>
        <v>#REF!</v>
      </c>
      <c r="N13" t="e">
        <f>AND(#REF!,"AAAAAFrc/w0=")</f>
        <v>#REF!</v>
      </c>
      <c r="O13" t="e">
        <f>AND(#REF!,"AAAAAFrc/w4=")</f>
        <v>#REF!</v>
      </c>
      <c r="P13" t="e">
        <f>AND(#REF!,"AAAAAFrc/w8=")</f>
        <v>#REF!</v>
      </c>
      <c r="Q13" t="e">
        <f>AND(#REF!,"AAAAAFrc/xA=")</f>
        <v>#REF!</v>
      </c>
      <c r="R13" t="e">
        <f>AND(#REF!,"AAAAAFrc/xE=")</f>
        <v>#REF!</v>
      </c>
      <c r="S13" t="e">
        <f>AND(#REF!,"AAAAAFrc/xI=")</f>
        <v>#REF!</v>
      </c>
      <c r="T13" t="e">
        <f>AND(#REF!,"AAAAAFrc/xM=")</f>
        <v>#REF!</v>
      </c>
      <c r="U13" t="e">
        <f>AND(#REF!,"AAAAAFrc/xQ=")</f>
        <v>#REF!</v>
      </c>
      <c r="V13" t="e">
        <f>AND(#REF!,"AAAAAFrc/xU=")</f>
        <v>#REF!</v>
      </c>
      <c r="W13" t="e">
        <f>AND(#REF!,"AAAAAFrc/xY=")</f>
        <v>#REF!</v>
      </c>
      <c r="X13" t="e">
        <f>IF(#REF!,"AAAAAFrc/xc=",0)</f>
        <v>#REF!</v>
      </c>
      <c r="Y13" t="e">
        <f>AND(#REF!,"AAAAAFrc/xg=")</f>
        <v>#REF!</v>
      </c>
      <c r="Z13" t="e">
        <f>AND(#REF!,"AAAAAFrc/xk=")</f>
        <v>#REF!</v>
      </c>
      <c r="AA13" t="e">
        <f>AND(#REF!,"AAAAAFrc/xo=")</f>
        <v>#REF!</v>
      </c>
      <c r="AB13" t="e">
        <f>AND(#REF!,"AAAAAFrc/xs=")</f>
        <v>#REF!</v>
      </c>
      <c r="AC13" t="e">
        <f>AND(#REF!,"AAAAAFrc/xw=")</f>
        <v>#REF!</v>
      </c>
      <c r="AD13" t="e">
        <f>AND(#REF!,"AAAAAFrc/x0=")</f>
        <v>#REF!</v>
      </c>
      <c r="AE13" t="e">
        <f>AND(#REF!,"AAAAAFrc/x4=")</f>
        <v>#REF!</v>
      </c>
      <c r="AF13" t="e">
        <f>AND(#REF!,"AAAAAFrc/x8=")</f>
        <v>#REF!</v>
      </c>
      <c r="AG13" t="e">
        <f>AND(#REF!,"AAAAAFrc/yA=")</f>
        <v>#REF!</v>
      </c>
      <c r="AH13" t="e">
        <f>AND(#REF!,"AAAAAFrc/yE=")</f>
        <v>#REF!</v>
      </c>
      <c r="AI13" t="e">
        <f>AND(#REF!,"AAAAAFrc/yI=")</f>
        <v>#REF!</v>
      </c>
      <c r="AJ13" t="e">
        <f>AND(#REF!,"AAAAAFrc/yM=")</f>
        <v>#REF!</v>
      </c>
      <c r="AK13" t="e">
        <f>AND(#REF!,"AAAAAFrc/yQ=")</f>
        <v>#REF!</v>
      </c>
      <c r="AL13" t="e">
        <f>IF(#REF!,"AAAAAFrc/yU=",0)</f>
        <v>#REF!</v>
      </c>
      <c r="AM13" t="e">
        <f>AND(#REF!,"AAAAAFrc/yY=")</f>
        <v>#REF!</v>
      </c>
      <c r="AN13" t="e">
        <f>AND(#REF!,"AAAAAFrc/yc=")</f>
        <v>#REF!</v>
      </c>
      <c r="AO13" t="e">
        <f>AND(#REF!,"AAAAAFrc/yg=")</f>
        <v>#REF!</v>
      </c>
      <c r="AP13" t="e">
        <f>AND(#REF!,"AAAAAFrc/yk=")</f>
        <v>#REF!</v>
      </c>
      <c r="AQ13" t="e">
        <f>AND(#REF!,"AAAAAFrc/yo=")</f>
        <v>#REF!</v>
      </c>
      <c r="AR13" t="e">
        <f>AND(#REF!,"AAAAAFrc/ys=")</f>
        <v>#REF!</v>
      </c>
      <c r="AS13" t="e">
        <f>AND(#REF!,"AAAAAFrc/yw=")</f>
        <v>#REF!</v>
      </c>
      <c r="AT13" t="e">
        <f>AND(#REF!,"AAAAAFrc/y0=")</f>
        <v>#REF!</v>
      </c>
      <c r="AU13" t="e">
        <f>AND(#REF!,"AAAAAFrc/y4=")</f>
        <v>#REF!</v>
      </c>
      <c r="AV13" t="e">
        <f>AND(#REF!,"AAAAAFrc/y8=")</f>
        <v>#REF!</v>
      </c>
      <c r="AW13" t="e">
        <f>AND(#REF!,"AAAAAFrc/zA=")</f>
        <v>#REF!</v>
      </c>
      <c r="AX13" t="e">
        <f>AND(#REF!,"AAAAAFrc/zE=")</f>
        <v>#REF!</v>
      </c>
      <c r="AY13" t="e">
        <f>AND(#REF!,"AAAAAFrc/zI=")</f>
        <v>#REF!</v>
      </c>
      <c r="AZ13" t="e">
        <f>IF(#REF!,"AAAAAFrc/zM=",0)</f>
        <v>#REF!</v>
      </c>
      <c r="BA13" t="e">
        <f>AND(#REF!,"AAAAAFrc/zQ=")</f>
        <v>#REF!</v>
      </c>
      <c r="BB13" t="e">
        <f>AND(#REF!,"AAAAAFrc/zU=")</f>
        <v>#REF!</v>
      </c>
      <c r="BC13" t="e">
        <f>AND(#REF!,"AAAAAFrc/zY=")</f>
        <v>#REF!</v>
      </c>
      <c r="BD13" t="e">
        <f>AND(#REF!,"AAAAAFrc/zc=")</f>
        <v>#REF!</v>
      </c>
      <c r="BE13" t="e">
        <f>AND(#REF!,"AAAAAFrc/zg=")</f>
        <v>#REF!</v>
      </c>
      <c r="BF13" t="e">
        <f>AND(#REF!,"AAAAAFrc/zk=")</f>
        <v>#REF!</v>
      </c>
      <c r="BG13" t="e">
        <f>AND(#REF!,"AAAAAFrc/zo=")</f>
        <v>#REF!</v>
      </c>
      <c r="BH13" t="e">
        <f>AND(#REF!,"AAAAAFrc/zs=")</f>
        <v>#REF!</v>
      </c>
      <c r="BI13" t="e">
        <f>AND(#REF!,"AAAAAFrc/zw=")</f>
        <v>#REF!</v>
      </c>
      <c r="BJ13" t="e">
        <f>AND(#REF!,"AAAAAFrc/z0=")</f>
        <v>#REF!</v>
      </c>
      <c r="BK13" t="e">
        <f>AND(#REF!,"AAAAAFrc/z4=")</f>
        <v>#REF!</v>
      </c>
      <c r="BL13" t="e">
        <f>AND(#REF!,"AAAAAFrc/z8=")</f>
        <v>#REF!</v>
      </c>
      <c r="BM13" t="e">
        <f>AND(#REF!,"AAAAAFrc/0A=")</f>
        <v>#REF!</v>
      </c>
      <c r="BN13" t="e">
        <f>IF(#REF!,"AAAAAFrc/0E=",0)</f>
        <v>#REF!</v>
      </c>
      <c r="BO13" t="e">
        <f>AND(#REF!,"AAAAAFrc/0I=")</f>
        <v>#REF!</v>
      </c>
      <c r="BP13" t="e">
        <f>AND(#REF!,"AAAAAFrc/0M=")</f>
        <v>#REF!</v>
      </c>
      <c r="BQ13" t="e">
        <f>AND(#REF!,"AAAAAFrc/0Q=")</f>
        <v>#REF!</v>
      </c>
      <c r="BR13" t="e">
        <f>AND(#REF!,"AAAAAFrc/0U=")</f>
        <v>#REF!</v>
      </c>
      <c r="BS13" t="e">
        <f>AND(#REF!,"AAAAAFrc/0Y=")</f>
        <v>#REF!</v>
      </c>
      <c r="BT13" t="e">
        <f>AND(#REF!,"AAAAAFrc/0c=")</f>
        <v>#REF!</v>
      </c>
      <c r="BU13" t="e">
        <f>AND(#REF!,"AAAAAFrc/0g=")</f>
        <v>#REF!</v>
      </c>
      <c r="BV13" t="e">
        <f>AND(#REF!,"AAAAAFrc/0k=")</f>
        <v>#REF!</v>
      </c>
      <c r="BW13" t="e">
        <f>AND(#REF!,"AAAAAFrc/0o=")</f>
        <v>#REF!</v>
      </c>
      <c r="BX13" t="e">
        <f>AND(#REF!,"AAAAAFrc/0s=")</f>
        <v>#REF!</v>
      </c>
      <c r="BY13" t="e">
        <f>AND(#REF!,"AAAAAFrc/0w=")</f>
        <v>#REF!</v>
      </c>
      <c r="BZ13" t="e">
        <f>AND(#REF!,"AAAAAFrc/00=")</f>
        <v>#REF!</v>
      </c>
      <c r="CA13" t="e">
        <f>AND(#REF!,"AAAAAFrc/04=")</f>
        <v>#REF!</v>
      </c>
      <c r="CB13" t="e">
        <f>IF(#REF!,"AAAAAFrc/08=",0)</f>
        <v>#REF!</v>
      </c>
      <c r="CC13" t="e">
        <f>AND(#REF!,"AAAAAFrc/1A=")</f>
        <v>#REF!</v>
      </c>
      <c r="CD13" t="e">
        <f>AND(#REF!,"AAAAAFrc/1E=")</f>
        <v>#REF!</v>
      </c>
      <c r="CE13" t="e">
        <f>AND(#REF!,"AAAAAFrc/1I=")</f>
        <v>#REF!</v>
      </c>
      <c r="CF13" t="e">
        <f>AND(#REF!,"AAAAAFrc/1M=")</f>
        <v>#REF!</v>
      </c>
      <c r="CG13" t="e">
        <f>AND(#REF!,"AAAAAFrc/1Q=")</f>
        <v>#REF!</v>
      </c>
      <c r="CH13" t="e">
        <f>AND(#REF!,"AAAAAFrc/1U=")</f>
        <v>#REF!</v>
      </c>
      <c r="CI13" t="e">
        <f>AND(#REF!,"AAAAAFrc/1Y=")</f>
        <v>#REF!</v>
      </c>
      <c r="CJ13" t="e">
        <f>AND(#REF!,"AAAAAFrc/1c=")</f>
        <v>#REF!</v>
      </c>
      <c r="CK13" t="e">
        <f>AND(#REF!,"AAAAAFrc/1g=")</f>
        <v>#REF!</v>
      </c>
      <c r="CL13" t="e">
        <f>AND(#REF!,"AAAAAFrc/1k=")</f>
        <v>#REF!</v>
      </c>
      <c r="CM13" t="e">
        <f>AND(#REF!,"AAAAAFrc/1o=")</f>
        <v>#REF!</v>
      </c>
      <c r="CN13" t="e">
        <f>AND(#REF!,"AAAAAFrc/1s=")</f>
        <v>#REF!</v>
      </c>
      <c r="CO13" t="e">
        <f>AND(#REF!,"AAAAAFrc/1w=")</f>
        <v>#REF!</v>
      </c>
      <c r="CP13" t="e">
        <f>IF(#REF!,"AAAAAFrc/10=",0)</f>
        <v>#REF!</v>
      </c>
      <c r="CQ13" t="e">
        <f>AND(#REF!,"AAAAAFrc/14=")</f>
        <v>#REF!</v>
      </c>
      <c r="CR13" t="e">
        <f>AND(#REF!,"AAAAAFrc/18=")</f>
        <v>#REF!</v>
      </c>
      <c r="CS13" t="e">
        <f>AND(#REF!,"AAAAAFrc/2A=")</f>
        <v>#REF!</v>
      </c>
      <c r="CT13" t="e">
        <f>AND(#REF!,"AAAAAFrc/2E=")</f>
        <v>#REF!</v>
      </c>
      <c r="CU13" t="e">
        <f>AND(#REF!,"AAAAAFrc/2I=")</f>
        <v>#REF!</v>
      </c>
      <c r="CV13" t="e">
        <f>AND(#REF!,"AAAAAFrc/2M=")</f>
        <v>#REF!</v>
      </c>
      <c r="CW13" t="e">
        <f>AND(#REF!,"AAAAAFrc/2Q=")</f>
        <v>#REF!</v>
      </c>
      <c r="CX13" t="e">
        <f>AND(#REF!,"AAAAAFrc/2U=")</f>
        <v>#REF!</v>
      </c>
      <c r="CY13" t="e">
        <f>AND(#REF!,"AAAAAFrc/2Y=")</f>
        <v>#REF!</v>
      </c>
      <c r="CZ13" t="e">
        <f>AND(#REF!,"AAAAAFrc/2c=")</f>
        <v>#REF!</v>
      </c>
      <c r="DA13" t="e">
        <f>AND(#REF!,"AAAAAFrc/2g=")</f>
        <v>#REF!</v>
      </c>
      <c r="DB13" t="e">
        <f>AND(#REF!,"AAAAAFrc/2k=")</f>
        <v>#REF!</v>
      </c>
      <c r="DC13" t="e">
        <f>AND(#REF!,"AAAAAFrc/2o=")</f>
        <v>#REF!</v>
      </c>
      <c r="DD13" t="e">
        <f>IF(#REF!,"AAAAAFrc/2s=",0)</f>
        <v>#REF!</v>
      </c>
      <c r="DE13" t="e">
        <f>AND(#REF!,"AAAAAFrc/2w=")</f>
        <v>#REF!</v>
      </c>
      <c r="DF13" t="e">
        <f>AND(#REF!,"AAAAAFrc/20=")</f>
        <v>#REF!</v>
      </c>
      <c r="DG13" t="e">
        <f>AND(#REF!,"AAAAAFrc/24=")</f>
        <v>#REF!</v>
      </c>
      <c r="DH13" t="e">
        <f>AND(#REF!,"AAAAAFrc/28=")</f>
        <v>#REF!</v>
      </c>
      <c r="DI13" t="e">
        <f>AND(#REF!,"AAAAAFrc/3A=")</f>
        <v>#REF!</v>
      </c>
      <c r="DJ13" t="e">
        <f>AND(#REF!,"AAAAAFrc/3E=")</f>
        <v>#REF!</v>
      </c>
      <c r="DK13" t="e">
        <f>AND(#REF!,"AAAAAFrc/3I=")</f>
        <v>#REF!</v>
      </c>
      <c r="DL13" t="e">
        <f>AND(#REF!,"AAAAAFrc/3M=")</f>
        <v>#REF!</v>
      </c>
      <c r="DM13" t="e">
        <f>AND(#REF!,"AAAAAFrc/3Q=")</f>
        <v>#REF!</v>
      </c>
      <c r="DN13" t="e">
        <f>AND(#REF!,"AAAAAFrc/3U=")</f>
        <v>#REF!</v>
      </c>
      <c r="DO13" t="e">
        <f>AND(#REF!,"AAAAAFrc/3Y=")</f>
        <v>#REF!</v>
      </c>
      <c r="DP13" t="e">
        <f>AND(#REF!,"AAAAAFrc/3c=")</f>
        <v>#REF!</v>
      </c>
      <c r="DQ13" t="e">
        <f>AND(#REF!,"AAAAAFrc/3g=")</f>
        <v>#REF!</v>
      </c>
      <c r="DR13" t="e">
        <f>IF(#REF!,"AAAAAFrc/3k=",0)</f>
        <v>#REF!</v>
      </c>
      <c r="DS13" t="e">
        <f>AND(#REF!,"AAAAAFrc/3o=")</f>
        <v>#REF!</v>
      </c>
      <c r="DT13" t="e">
        <f>AND(#REF!,"AAAAAFrc/3s=")</f>
        <v>#REF!</v>
      </c>
      <c r="DU13" t="e">
        <f>AND(#REF!,"AAAAAFrc/3w=")</f>
        <v>#REF!</v>
      </c>
      <c r="DV13" t="e">
        <f>AND(#REF!,"AAAAAFrc/30=")</f>
        <v>#REF!</v>
      </c>
      <c r="DW13" t="e">
        <f>AND(#REF!,"AAAAAFrc/34=")</f>
        <v>#REF!</v>
      </c>
      <c r="DX13" t="e">
        <f>AND(#REF!,"AAAAAFrc/38=")</f>
        <v>#REF!</v>
      </c>
      <c r="DY13" t="e">
        <f>AND(#REF!,"AAAAAFrc/4A=")</f>
        <v>#REF!</v>
      </c>
      <c r="DZ13" t="e">
        <f>AND(#REF!,"AAAAAFrc/4E=")</f>
        <v>#REF!</v>
      </c>
      <c r="EA13" t="e">
        <f>AND(#REF!,"AAAAAFrc/4I=")</f>
        <v>#REF!</v>
      </c>
      <c r="EB13" t="e">
        <f>AND(#REF!,"AAAAAFrc/4M=")</f>
        <v>#REF!</v>
      </c>
      <c r="EC13" t="e">
        <f>AND(#REF!,"AAAAAFrc/4Q=")</f>
        <v>#REF!</v>
      </c>
      <c r="ED13" t="e">
        <f>AND(#REF!,"AAAAAFrc/4U=")</f>
        <v>#REF!</v>
      </c>
      <c r="EE13" t="e">
        <f>AND(#REF!,"AAAAAFrc/4Y=")</f>
        <v>#REF!</v>
      </c>
      <c r="EF13" t="e">
        <f>IF(#REF!,"AAAAAFrc/4c=",0)</f>
        <v>#REF!</v>
      </c>
      <c r="EG13" t="e">
        <f>AND(#REF!,"AAAAAFrc/4g=")</f>
        <v>#REF!</v>
      </c>
      <c r="EH13" t="e">
        <f>AND(#REF!,"AAAAAFrc/4k=")</f>
        <v>#REF!</v>
      </c>
      <c r="EI13" t="e">
        <f>AND(#REF!,"AAAAAFrc/4o=")</f>
        <v>#REF!</v>
      </c>
      <c r="EJ13" t="e">
        <f>AND(#REF!,"AAAAAFrc/4s=")</f>
        <v>#REF!</v>
      </c>
      <c r="EK13" t="e">
        <f>AND(#REF!,"AAAAAFrc/4w=")</f>
        <v>#REF!</v>
      </c>
      <c r="EL13" t="e">
        <f>AND(#REF!,"AAAAAFrc/40=")</f>
        <v>#REF!</v>
      </c>
      <c r="EM13" t="e">
        <f>AND(#REF!,"AAAAAFrc/44=")</f>
        <v>#REF!</v>
      </c>
      <c r="EN13" t="e">
        <f>AND(#REF!,"AAAAAFrc/48=")</f>
        <v>#REF!</v>
      </c>
      <c r="EO13" t="e">
        <f>AND(#REF!,"AAAAAFrc/5A=")</f>
        <v>#REF!</v>
      </c>
      <c r="EP13" t="e">
        <f>AND(#REF!,"AAAAAFrc/5E=")</f>
        <v>#REF!</v>
      </c>
      <c r="EQ13" t="e">
        <f>AND(#REF!,"AAAAAFrc/5I=")</f>
        <v>#REF!</v>
      </c>
      <c r="ER13" t="e">
        <f>AND(#REF!,"AAAAAFrc/5M=")</f>
        <v>#REF!</v>
      </c>
      <c r="ES13" t="e">
        <f>AND(#REF!,"AAAAAFrc/5Q=")</f>
        <v>#REF!</v>
      </c>
      <c r="ET13" t="e">
        <f>IF(#REF!,"AAAAAFrc/5U=",0)</f>
        <v>#REF!</v>
      </c>
      <c r="EU13" t="e">
        <f>AND(#REF!,"AAAAAFrc/5Y=")</f>
        <v>#REF!</v>
      </c>
      <c r="EV13" t="e">
        <f>AND(#REF!,"AAAAAFrc/5c=")</f>
        <v>#REF!</v>
      </c>
      <c r="EW13" t="e">
        <f>AND(#REF!,"AAAAAFrc/5g=")</f>
        <v>#REF!</v>
      </c>
      <c r="EX13" t="e">
        <f>AND(#REF!,"AAAAAFrc/5k=")</f>
        <v>#REF!</v>
      </c>
      <c r="EY13" t="e">
        <f>AND(#REF!,"AAAAAFrc/5o=")</f>
        <v>#REF!</v>
      </c>
      <c r="EZ13" t="e">
        <f>AND(#REF!,"AAAAAFrc/5s=")</f>
        <v>#REF!</v>
      </c>
      <c r="FA13" t="e">
        <f>AND(#REF!,"AAAAAFrc/5w=")</f>
        <v>#REF!</v>
      </c>
      <c r="FB13" t="e">
        <f>AND(#REF!,"AAAAAFrc/50=")</f>
        <v>#REF!</v>
      </c>
      <c r="FC13" t="e">
        <f>AND(#REF!,"AAAAAFrc/54=")</f>
        <v>#REF!</v>
      </c>
      <c r="FD13" t="e">
        <f>AND(#REF!,"AAAAAFrc/58=")</f>
        <v>#REF!</v>
      </c>
      <c r="FE13" t="e">
        <f>AND(#REF!,"AAAAAFrc/6A=")</f>
        <v>#REF!</v>
      </c>
      <c r="FF13" t="e">
        <f>AND(#REF!,"AAAAAFrc/6E=")</f>
        <v>#REF!</v>
      </c>
      <c r="FG13" t="e">
        <f>AND(#REF!,"AAAAAFrc/6I=")</f>
        <v>#REF!</v>
      </c>
      <c r="FH13" t="e">
        <f>IF(#REF!,"AAAAAFrc/6M=",0)</f>
        <v>#REF!</v>
      </c>
      <c r="FI13" t="e">
        <f>AND(#REF!,"AAAAAFrc/6Q=")</f>
        <v>#REF!</v>
      </c>
      <c r="FJ13" t="e">
        <f>AND(#REF!,"AAAAAFrc/6U=")</f>
        <v>#REF!</v>
      </c>
      <c r="FK13" t="e">
        <f>AND(#REF!,"AAAAAFrc/6Y=")</f>
        <v>#REF!</v>
      </c>
      <c r="FL13" t="e">
        <f>AND(#REF!,"AAAAAFrc/6c=")</f>
        <v>#REF!</v>
      </c>
      <c r="FM13" t="e">
        <f>AND(#REF!,"AAAAAFrc/6g=")</f>
        <v>#REF!</v>
      </c>
      <c r="FN13" t="e">
        <f>AND(#REF!,"AAAAAFrc/6k=")</f>
        <v>#REF!</v>
      </c>
      <c r="FO13" t="e">
        <f>AND(#REF!,"AAAAAFrc/6o=")</f>
        <v>#REF!</v>
      </c>
      <c r="FP13" t="e">
        <f>AND(#REF!,"AAAAAFrc/6s=")</f>
        <v>#REF!</v>
      </c>
      <c r="FQ13" t="e">
        <f>AND(#REF!,"AAAAAFrc/6w=")</f>
        <v>#REF!</v>
      </c>
      <c r="FR13" t="e">
        <f>AND(#REF!,"AAAAAFrc/60=")</f>
        <v>#REF!</v>
      </c>
      <c r="FS13" t="e">
        <f>AND(#REF!,"AAAAAFrc/64=")</f>
        <v>#REF!</v>
      </c>
      <c r="FT13" t="e">
        <f>AND(#REF!,"AAAAAFrc/68=")</f>
        <v>#REF!</v>
      </c>
      <c r="FU13" t="e">
        <f>AND(#REF!,"AAAAAFrc/7A=")</f>
        <v>#REF!</v>
      </c>
      <c r="FV13" t="e">
        <f>IF(#REF!,"AAAAAFrc/7E=",0)</f>
        <v>#REF!</v>
      </c>
      <c r="FW13" t="e">
        <f>AND(#REF!,"AAAAAFrc/7I=")</f>
        <v>#REF!</v>
      </c>
      <c r="FX13" t="e">
        <f>AND(#REF!,"AAAAAFrc/7M=")</f>
        <v>#REF!</v>
      </c>
      <c r="FY13" t="e">
        <f>AND(#REF!,"AAAAAFrc/7Q=")</f>
        <v>#REF!</v>
      </c>
      <c r="FZ13" t="e">
        <f>AND(#REF!,"AAAAAFrc/7U=")</f>
        <v>#REF!</v>
      </c>
      <c r="GA13" t="e">
        <f>AND(#REF!,"AAAAAFrc/7Y=")</f>
        <v>#REF!</v>
      </c>
      <c r="GB13" t="e">
        <f>AND(#REF!,"AAAAAFrc/7c=")</f>
        <v>#REF!</v>
      </c>
      <c r="GC13" t="e">
        <f>AND(#REF!,"AAAAAFrc/7g=")</f>
        <v>#REF!</v>
      </c>
      <c r="GD13" t="e">
        <f>AND(#REF!,"AAAAAFrc/7k=")</f>
        <v>#REF!</v>
      </c>
      <c r="GE13" t="e">
        <f>AND(#REF!,"AAAAAFrc/7o=")</f>
        <v>#REF!</v>
      </c>
      <c r="GF13" t="e">
        <f>AND(#REF!,"AAAAAFrc/7s=")</f>
        <v>#REF!</v>
      </c>
      <c r="GG13" t="e">
        <f>AND(#REF!,"AAAAAFrc/7w=")</f>
        <v>#REF!</v>
      </c>
      <c r="GH13" t="e">
        <f>AND(#REF!,"AAAAAFrc/70=")</f>
        <v>#REF!</v>
      </c>
      <c r="GI13" t="e">
        <f>AND(#REF!,"AAAAAFrc/74=")</f>
        <v>#REF!</v>
      </c>
      <c r="GJ13" t="e">
        <f>IF(#REF!,"AAAAAFrc/78=",0)</f>
        <v>#REF!</v>
      </c>
      <c r="GK13" t="e">
        <f>AND(#REF!,"AAAAAFrc/8A=")</f>
        <v>#REF!</v>
      </c>
      <c r="GL13" t="e">
        <f>AND(#REF!,"AAAAAFrc/8E=")</f>
        <v>#REF!</v>
      </c>
      <c r="GM13" t="e">
        <f>AND(#REF!,"AAAAAFrc/8I=")</f>
        <v>#REF!</v>
      </c>
      <c r="GN13" t="e">
        <f>AND(#REF!,"AAAAAFrc/8M=")</f>
        <v>#REF!</v>
      </c>
      <c r="GO13" t="e">
        <f>AND(#REF!,"AAAAAFrc/8Q=")</f>
        <v>#REF!</v>
      </c>
      <c r="GP13" t="e">
        <f>AND(#REF!,"AAAAAFrc/8U=")</f>
        <v>#REF!</v>
      </c>
      <c r="GQ13" t="e">
        <f>AND(#REF!,"AAAAAFrc/8Y=")</f>
        <v>#REF!</v>
      </c>
      <c r="GR13" t="e">
        <f>AND(#REF!,"AAAAAFrc/8c=")</f>
        <v>#REF!</v>
      </c>
      <c r="GS13" t="e">
        <f>AND(#REF!,"AAAAAFrc/8g=")</f>
        <v>#REF!</v>
      </c>
      <c r="GT13" t="e">
        <f>AND(#REF!,"AAAAAFrc/8k=")</f>
        <v>#REF!</v>
      </c>
      <c r="GU13" t="e">
        <f>AND(#REF!,"AAAAAFrc/8o=")</f>
        <v>#REF!</v>
      </c>
      <c r="GV13" t="e">
        <f>AND(#REF!,"AAAAAFrc/8s=")</f>
        <v>#REF!</v>
      </c>
      <c r="GW13" t="e">
        <f>AND(#REF!,"AAAAAFrc/8w=")</f>
        <v>#REF!</v>
      </c>
      <c r="GX13" t="e">
        <f>IF(#REF!,"AAAAAFrc/80=",0)</f>
        <v>#REF!</v>
      </c>
      <c r="GY13" t="e">
        <f>AND(#REF!,"AAAAAFrc/84=")</f>
        <v>#REF!</v>
      </c>
      <c r="GZ13" t="e">
        <f>AND(#REF!,"AAAAAFrc/88=")</f>
        <v>#REF!</v>
      </c>
      <c r="HA13" t="e">
        <f>AND(#REF!,"AAAAAFrc/9A=")</f>
        <v>#REF!</v>
      </c>
      <c r="HB13" t="e">
        <f>AND(#REF!,"AAAAAFrc/9E=")</f>
        <v>#REF!</v>
      </c>
      <c r="HC13" t="e">
        <f>AND(#REF!,"AAAAAFrc/9I=")</f>
        <v>#REF!</v>
      </c>
      <c r="HD13" t="e">
        <f>AND(#REF!,"AAAAAFrc/9M=")</f>
        <v>#REF!</v>
      </c>
      <c r="HE13" t="e">
        <f>AND(#REF!,"AAAAAFrc/9Q=")</f>
        <v>#REF!</v>
      </c>
      <c r="HF13" t="e">
        <f>AND(#REF!,"AAAAAFrc/9U=")</f>
        <v>#REF!</v>
      </c>
      <c r="HG13" t="e">
        <f>AND(#REF!,"AAAAAFrc/9Y=")</f>
        <v>#REF!</v>
      </c>
      <c r="HH13" t="e">
        <f>AND(#REF!,"AAAAAFrc/9c=")</f>
        <v>#REF!</v>
      </c>
      <c r="HI13" t="e">
        <f>AND(#REF!,"AAAAAFrc/9g=")</f>
        <v>#REF!</v>
      </c>
      <c r="HJ13" t="e">
        <f>AND(#REF!,"AAAAAFrc/9k=")</f>
        <v>#REF!</v>
      </c>
      <c r="HK13" t="e">
        <f>AND(#REF!,"AAAAAFrc/9o=")</f>
        <v>#REF!</v>
      </c>
      <c r="HL13" t="e">
        <f>IF(#REF!,"AAAAAFrc/9s=",0)</f>
        <v>#REF!</v>
      </c>
      <c r="HM13" t="e">
        <f>AND(#REF!,"AAAAAFrc/9w=")</f>
        <v>#REF!</v>
      </c>
      <c r="HN13" t="e">
        <f>AND(#REF!,"AAAAAFrc/90=")</f>
        <v>#REF!</v>
      </c>
      <c r="HO13" t="e">
        <f>AND(#REF!,"AAAAAFrc/94=")</f>
        <v>#REF!</v>
      </c>
      <c r="HP13" t="e">
        <f>AND(#REF!,"AAAAAFrc/98=")</f>
        <v>#REF!</v>
      </c>
      <c r="HQ13" t="e">
        <f>AND(#REF!,"AAAAAFrc/+A=")</f>
        <v>#REF!</v>
      </c>
      <c r="HR13" t="e">
        <f>AND(#REF!,"AAAAAFrc/+E=")</f>
        <v>#REF!</v>
      </c>
      <c r="HS13" t="e">
        <f>AND(#REF!,"AAAAAFrc/+I=")</f>
        <v>#REF!</v>
      </c>
      <c r="HT13" t="e">
        <f>AND(#REF!,"AAAAAFrc/+M=")</f>
        <v>#REF!</v>
      </c>
      <c r="HU13" t="e">
        <f>AND(#REF!,"AAAAAFrc/+Q=")</f>
        <v>#REF!</v>
      </c>
      <c r="HV13" t="e">
        <f>AND(#REF!,"AAAAAFrc/+U=")</f>
        <v>#REF!</v>
      </c>
      <c r="HW13" t="e">
        <f>AND(#REF!,"AAAAAFrc/+Y=")</f>
        <v>#REF!</v>
      </c>
      <c r="HX13" t="e">
        <f>AND(#REF!,"AAAAAFrc/+c=")</f>
        <v>#REF!</v>
      </c>
      <c r="HY13" t="e">
        <f>AND(#REF!,"AAAAAFrc/+g=")</f>
        <v>#REF!</v>
      </c>
      <c r="HZ13" t="e">
        <f>IF(#REF!,"AAAAAFrc/+k=",0)</f>
        <v>#REF!</v>
      </c>
      <c r="IA13" t="e">
        <f>AND(#REF!,"AAAAAFrc/+o=")</f>
        <v>#REF!</v>
      </c>
      <c r="IB13" t="e">
        <f>AND(#REF!,"AAAAAFrc/+s=")</f>
        <v>#REF!</v>
      </c>
      <c r="IC13" t="e">
        <f>AND(#REF!,"AAAAAFrc/+w=")</f>
        <v>#REF!</v>
      </c>
      <c r="ID13" t="e">
        <f>AND(#REF!,"AAAAAFrc/+0=")</f>
        <v>#REF!</v>
      </c>
      <c r="IE13" t="e">
        <f>AND(#REF!,"AAAAAFrc/+4=")</f>
        <v>#REF!</v>
      </c>
      <c r="IF13" t="e">
        <f>AND(#REF!,"AAAAAFrc/+8=")</f>
        <v>#REF!</v>
      </c>
      <c r="IG13" t="e">
        <f>AND(#REF!,"AAAAAFrc//A=")</f>
        <v>#REF!</v>
      </c>
      <c r="IH13" t="e">
        <f>AND(#REF!,"AAAAAFrc//E=")</f>
        <v>#REF!</v>
      </c>
      <c r="II13" t="e">
        <f>AND(#REF!,"AAAAAFrc//I=")</f>
        <v>#REF!</v>
      </c>
      <c r="IJ13" t="e">
        <f>AND(#REF!,"AAAAAFrc//M=")</f>
        <v>#REF!</v>
      </c>
      <c r="IK13" t="e">
        <f>AND(#REF!,"AAAAAFrc//Q=")</f>
        <v>#REF!</v>
      </c>
      <c r="IL13" t="e">
        <f>AND(#REF!,"AAAAAFrc//U=")</f>
        <v>#REF!</v>
      </c>
      <c r="IM13" t="e">
        <f>AND(#REF!,"AAAAAFrc//Y=")</f>
        <v>#REF!</v>
      </c>
      <c r="IN13" t="e">
        <f>IF(#REF!,"AAAAAFrc//c=",0)</f>
        <v>#REF!</v>
      </c>
      <c r="IO13" t="e">
        <f>AND(#REF!,"AAAAAFrc//g=")</f>
        <v>#REF!</v>
      </c>
      <c r="IP13" t="e">
        <f>AND(#REF!,"AAAAAFrc//k=")</f>
        <v>#REF!</v>
      </c>
      <c r="IQ13" t="e">
        <f>AND(#REF!,"AAAAAFrc//o=")</f>
        <v>#REF!</v>
      </c>
      <c r="IR13" t="e">
        <f>AND(#REF!,"AAAAAFrc//s=")</f>
        <v>#REF!</v>
      </c>
      <c r="IS13" t="e">
        <f>AND(#REF!,"AAAAAFrc//w=")</f>
        <v>#REF!</v>
      </c>
      <c r="IT13" t="e">
        <f>AND(#REF!,"AAAAAFrc//0=")</f>
        <v>#REF!</v>
      </c>
      <c r="IU13" t="e">
        <f>AND(#REF!,"AAAAAFrc//4=")</f>
        <v>#REF!</v>
      </c>
      <c r="IV13" t="e">
        <f>AND(#REF!,"AAAAAFrc//8=")</f>
        <v>#REF!</v>
      </c>
    </row>
    <row r="14" spans="1:256" x14ac:dyDescent="0.35">
      <c r="A14" t="e">
        <f>AND(#REF!,"AAAAAHbH6wA=")</f>
        <v>#REF!</v>
      </c>
      <c r="B14" t="e">
        <f>AND(#REF!,"AAAAAHbH6wE=")</f>
        <v>#REF!</v>
      </c>
      <c r="C14" t="e">
        <f>AND(#REF!,"AAAAAHbH6wI=")</f>
        <v>#REF!</v>
      </c>
      <c r="D14" t="e">
        <f>AND(#REF!,"AAAAAHbH6wM=")</f>
        <v>#REF!</v>
      </c>
      <c r="E14" t="e">
        <f>AND(#REF!,"AAAAAHbH6wQ=")</f>
        <v>#REF!</v>
      </c>
      <c r="F14" t="e">
        <f>IF(#REF!,"AAAAAHbH6wU=",0)</f>
        <v>#REF!</v>
      </c>
      <c r="G14" t="e">
        <f>AND(#REF!,"AAAAAHbH6wY=")</f>
        <v>#REF!</v>
      </c>
      <c r="H14" t="e">
        <f>AND(#REF!,"AAAAAHbH6wc=")</f>
        <v>#REF!</v>
      </c>
      <c r="I14" t="e">
        <f>AND(#REF!,"AAAAAHbH6wg=")</f>
        <v>#REF!</v>
      </c>
      <c r="J14" t="e">
        <f>AND(#REF!,"AAAAAHbH6wk=")</f>
        <v>#REF!</v>
      </c>
      <c r="K14" t="e">
        <f>AND(#REF!,"AAAAAHbH6wo=")</f>
        <v>#REF!</v>
      </c>
      <c r="L14" t="e">
        <f>AND(#REF!,"AAAAAHbH6ws=")</f>
        <v>#REF!</v>
      </c>
      <c r="M14" t="e">
        <f>AND(#REF!,"AAAAAHbH6ww=")</f>
        <v>#REF!</v>
      </c>
      <c r="N14" t="e">
        <f>AND(#REF!,"AAAAAHbH6w0=")</f>
        <v>#REF!</v>
      </c>
      <c r="O14" t="e">
        <f>AND(#REF!,"AAAAAHbH6w4=")</f>
        <v>#REF!</v>
      </c>
      <c r="P14" t="e">
        <f>AND(#REF!,"AAAAAHbH6w8=")</f>
        <v>#REF!</v>
      </c>
      <c r="Q14" t="e">
        <f>AND(#REF!,"AAAAAHbH6xA=")</f>
        <v>#REF!</v>
      </c>
      <c r="R14" t="e">
        <f>AND(#REF!,"AAAAAHbH6xE=")</f>
        <v>#REF!</v>
      </c>
      <c r="S14" t="e">
        <f>AND(#REF!,"AAAAAHbH6xI=")</f>
        <v>#REF!</v>
      </c>
      <c r="T14" t="e">
        <f>IF(#REF!,"AAAAAHbH6xM=",0)</f>
        <v>#REF!</v>
      </c>
      <c r="U14" t="e">
        <f>AND(#REF!,"AAAAAHbH6xQ=")</f>
        <v>#REF!</v>
      </c>
      <c r="V14" t="e">
        <f>AND(#REF!,"AAAAAHbH6xU=")</f>
        <v>#REF!</v>
      </c>
      <c r="W14" t="e">
        <f>AND(#REF!,"AAAAAHbH6xY=")</f>
        <v>#REF!</v>
      </c>
      <c r="X14" t="e">
        <f>AND(#REF!,"AAAAAHbH6xc=")</f>
        <v>#REF!</v>
      </c>
      <c r="Y14" t="e">
        <f>AND(#REF!,"AAAAAHbH6xg=")</f>
        <v>#REF!</v>
      </c>
      <c r="Z14" t="e">
        <f>AND(#REF!,"AAAAAHbH6xk=")</f>
        <v>#REF!</v>
      </c>
      <c r="AA14" t="e">
        <f>AND(#REF!,"AAAAAHbH6xo=")</f>
        <v>#REF!</v>
      </c>
      <c r="AB14" t="e">
        <f>AND(#REF!,"AAAAAHbH6xs=")</f>
        <v>#REF!</v>
      </c>
      <c r="AC14" t="e">
        <f>AND(#REF!,"AAAAAHbH6xw=")</f>
        <v>#REF!</v>
      </c>
      <c r="AD14" t="e">
        <f>AND(#REF!,"AAAAAHbH6x0=")</f>
        <v>#REF!</v>
      </c>
      <c r="AE14" t="e">
        <f>AND(#REF!,"AAAAAHbH6x4=")</f>
        <v>#REF!</v>
      </c>
      <c r="AF14" t="e">
        <f>AND(#REF!,"AAAAAHbH6x8=")</f>
        <v>#REF!</v>
      </c>
      <c r="AG14" t="e">
        <f>AND(#REF!,"AAAAAHbH6yA=")</f>
        <v>#REF!</v>
      </c>
      <c r="AH14" t="e">
        <f>IF(#REF!,"AAAAAHbH6yE=",0)</f>
        <v>#REF!</v>
      </c>
      <c r="AI14" t="e">
        <f>AND(#REF!,"AAAAAHbH6yI=")</f>
        <v>#REF!</v>
      </c>
      <c r="AJ14" t="e">
        <f>AND(#REF!,"AAAAAHbH6yM=")</f>
        <v>#REF!</v>
      </c>
      <c r="AK14" t="e">
        <f>AND(#REF!,"AAAAAHbH6yQ=")</f>
        <v>#REF!</v>
      </c>
      <c r="AL14" t="e">
        <f>AND(#REF!,"AAAAAHbH6yU=")</f>
        <v>#REF!</v>
      </c>
      <c r="AM14" t="e">
        <f>AND(#REF!,"AAAAAHbH6yY=")</f>
        <v>#REF!</v>
      </c>
      <c r="AN14" t="e">
        <f>AND(#REF!,"AAAAAHbH6yc=")</f>
        <v>#REF!</v>
      </c>
      <c r="AO14" t="e">
        <f>AND(#REF!,"AAAAAHbH6yg=")</f>
        <v>#REF!</v>
      </c>
      <c r="AP14" t="e">
        <f>AND(#REF!,"AAAAAHbH6yk=")</f>
        <v>#REF!</v>
      </c>
      <c r="AQ14" t="e">
        <f>AND(#REF!,"AAAAAHbH6yo=")</f>
        <v>#REF!</v>
      </c>
      <c r="AR14" t="e">
        <f>AND(#REF!,"AAAAAHbH6ys=")</f>
        <v>#REF!</v>
      </c>
      <c r="AS14" t="e">
        <f>AND(#REF!,"AAAAAHbH6yw=")</f>
        <v>#REF!</v>
      </c>
      <c r="AT14" t="e">
        <f>AND(#REF!,"AAAAAHbH6y0=")</f>
        <v>#REF!</v>
      </c>
      <c r="AU14" t="e">
        <f>AND(#REF!,"AAAAAHbH6y4=")</f>
        <v>#REF!</v>
      </c>
      <c r="AV14" t="e">
        <f>IF(#REF!,"AAAAAHbH6y8=",0)</f>
        <v>#REF!</v>
      </c>
      <c r="AW14" t="e">
        <f>AND(#REF!,"AAAAAHbH6zA=")</f>
        <v>#REF!</v>
      </c>
      <c r="AX14" t="e">
        <f>AND(#REF!,"AAAAAHbH6zE=")</f>
        <v>#REF!</v>
      </c>
      <c r="AY14" t="e">
        <f>AND(#REF!,"AAAAAHbH6zI=")</f>
        <v>#REF!</v>
      </c>
      <c r="AZ14" t="e">
        <f>AND(#REF!,"AAAAAHbH6zM=")</f>
        <v>#REF!</v>
      </c>
      <c r="BA14" t="e">
        <f>AND(#REF!,"AAAAAHbH6zQ=")</f>
        <v>#REF!</v>
      </c>
      <c r="BB14" t="e">
        <f>AND(#REF!,"AAAAAHbH6zU=")</f>
        <v>#REF!</v>
      </c>
      <c r="BC14" t="e">
        <f>AND(#REF!,"AAAAAHbH6zY=")</f>
        <v>#REF!</v>
      </c>
      <c r="BD14" t="e">
        <f>AND(#REF!,"AAAAAHbH6zc=")</f>
        <v>#REF!</v>
      </c>
      <c r="BE14" t="e">
        <f>AND(#REF!,"AAAAAHbH6zg=")</f>
        <v>#REF!</v>
      </c>
      <c r="BF14" t="e">
        <f>AND(#REF!,"AAAAAHbH6zk=")</f>
        <v>#REF!</v>
      </c>
      <c r="BG14" t="e">
        <f>AND(#REF!,"AAAAAHbH6zo=")</f>
        <v>#REF!</v>
      </c>
      <c r="BH14" t="e">
        <f>AND(#REF!,"AAAAAHbH6zs=")</f>
        <v>#REF!</v>
      </c>
      <c r="BI14" t="e">
        <f>AND(#REF!,"AAAAAHbH6zw=")</f>
        <v>#REF!</v>
      </c>
      <c r="BJ14" t="e">
        <f>IF(#REF!,"AAAAAHbH6z0=",0)</f>
        <v>#REF!</v>
      </c>
      <c r="BK14" t="e">
        <f>AND(#REF!,"AAAAAHbH6z4=")</f>
        <v>#REF!</v>
      </c>
      <c r="BL14" t="e">
        <f>AND(#REF!,"AAAAAHbH6z8=")</f>
        <v>#REF!</v>
      </c>
      <c r="BM14" t="e">
        <f>AND(#REF!,"AAAAAHbH60A=")</f>
        <v>#REF!</v>
      </c>
      <c r="BN14" t="e">
        <f>AND(#REF!,"AAAAAHbH60E=")</f>
        <v>#REF!</v>
      </c>
      <c r="BO14" t="e">
        <f>AND(#REF!,"AAAAAHbH60I=")</f>
        <v>#REF!</v>
      </c>
      <c r="BP14" t="e">
        <f>AND(#REF!,"AAAAAHbH60M=")</f>
        <v>#REF!</v>
      </c>
      <c r="BQ14" t="e">
        <f>AND(#REF!,"AAAAAHbH60Q=")</f>
        <v>#REF!</v>
      </c>
      <c r="BR14" t="e">
        <f>AND(#REF!,"AAAAAHbH60U=")</f>
        <v>#REF!</v>
      </c>
      <c r="BS14" t="e">
        <f>AND(#REF!,"AAAAAHbH60Y=")</f>
        <v>#REF!</v>
      </c>
      <c r="BT14" t="e">
        <f>AND(#REF!,"AAAAAHbH60c=")</f>
        <v>#REF!</v>
      </c>
      <c r="BU14" t="e">
        <f>AND(#REF!,"AAAAAHbH60g=")</f>
        <v>#REF!</v>
      </c>
      <c r="BV14" t="e">
        <f>AND(#REF!,"AAAAAHbH60k=")</f>
        <v>#REF!</v>
      </c>
      <c r="BW14" t="e">
        <f>AND(#REF!,"AAAAAHbH60o=")</f>
        <v>#REF!</v>
      </c>
      <c r="BX14" t="e">
        <f>IF(#REF!,"AAAAAHbH60s=",0)</f>
        <v>#REF!</v>
      </c>
      <c r="BY14" t="e">
        <f>AND(#REF!,"AAAAAHbH60w=")</f>
        <v>#REF!</v>
      </c>
      <c r="BZ14" t="e">
        <f>AND(#REF!,"AAAAAHbH600=")</f>
        <v>#REF!</v>
      </c>
      <c r="CA14" t="e">
        <f>AND(#REF!,"AAAAAHbH604=")</f>
        <v>#REF!</v>
      </c>
      <c r="CB14" t="e">
        <f>AND(#REF!,"AAAAAHbH608=")</f>
        <v>#REF!</v>
      </c>
      <c r="CC14" t="e">
        <f>AND(#REF!,"AAAAAHbH61A=")</f>
        <v>#REF!</v>
      </c>
      <c r="CD14" t="e">
        <f>AND(#REF!,"AAAAAHbH61E=")</f>
        <v>#REF!</v>
      </c>
      <c r="CE14" t="e">
        <f>AND(#REF!,"AAAAAHbH61I=")</f>
        <v>#REF!</v>
      </c>
      <c r="CF14" t="e">
        <f>AND(#REF!,"AAAAAHbH61M=")</f>
        <v>#REF!</v>
      </c>
      <c r="CG14" t="e">
        <f>AND(#REF!,"AAAAAHbH61Q=")</f>
        <v>#REF!</v>
      </c>
      <c r="CH14" t="e">
        <f>AND(#REF!,"AAAAAHbH61U=")</f>
        <v>#REF!</v>
      </c>
      <c r="CI14" t="e">
        <f>AND(#REF!,"AAAAAHbH61Y=")</f>
        <v>#REF!</v>
      </c>
      <c r="CJ14" t="e">
        <f>AND(#REF!,"AAAAAHbH61c=")</f>
        <v>#REF!</v>
      </c>
      <c r="CK14" t="e">
        <f>AND(#REF!,"AAAAAHbH61g=")</f>
        <v>#REF!</v>
      </c>
      <c r="CL14" t="e">
        <f>IF(#REF!,"AAAAAHbH61k=",0)</f>
        <v>#REF!</v>
      </c>
      <c r="CM14" t="e">
        <f>AND(#REF!,"AAAAAHbH61o=")</f>
        <v>#REF!</v>
      </c>
      <c r="CN14" t="e">
        <f>AND(#REF!,"AAAAAHbH61s=")</f>
        <v>#REF!</v>
      </c>
      <c r="CO14" t="e">
        <f>AND(#REF!,"AAAAAHbH61w=")</f>
        <v>#REF!</v>
      </c>
      <c r="CP14" t="e">
        <f>AND(#REF!,"AAAAAHbH610=")</f>
        <v>#REF!</v>
      </c>
      <c r="CQ14" t="e">
        <f>AND(#REF!,"AAAAAHbH614=")</f>
        <v>#REF!</v>
      </c>
      <c r="CR14" t="e">
        <f>AND(#REF!,"AAAAAHbH618=")</f>
        <v>#REF!</v>
      </c>
      <c r="CS14" t="e">
        <f>AND(#REF!,"AAAAAHbH62A=")</f>
        <v>#REF!</v>
      </c>
      <c r="CT14" t="e">
        <f>AND(#REF!,"AAAAAHbH62E=")</f>
        <v>#REF!</v>
      </c>
      <c r="CU14" t="e">
        <f>IF(#REF!,"AAAAAHbH62I=",0)</f>
        <v>#REF!</v>
      </c>
      <c r="CV14" t="e">
        <f>AND(#REF!,"AAAAAHbH62M=")</f>
        <v>#REF!</v>
      </c>
      <c r="CW14" t="e">
        <f>AND(#REF!,"AAAAAHbH62Q=")</f>
        <v>#REF!</v>
      </c>
      <c r="CX14" t="e">
        <f>AND(#REF!,"AAAAAHbH62U=")</f>
        <v>#REF!</v>
      </c>
      <c r="CY14" t="e">
        <f>AND(#REF!,"AAAAAHbH62Y=")</f>
        <v>#REF!</v>
      </c>
      <c r="CZ14" t="e">
        <f>AND(#REF!,"AAAAAHbH62c=")</f>
        <v>#REF!</v>
      </c>
      <c r="DA14" t="e">
        <f>AND(#REF!,"AAAAAHbH62g=")</f>
        <v>#REF!</v>
      </c>
      <c r="DB14" t="e">
        <f>AND(#REF!,"AAAAAHbH62k=")</f>
        <v>#REF!</v>
      </c>
      <c r="DC14" t="e">
        <f>AND(#REF!,"AAAAAHbH62o=")</f>
        <v>#REF!</v>
      </c>
      <c r="DD14" t="e">
        <f>IF(#REF!,"AAAAAHbH62s=",0)</f>
        <v>#REF!</v>
      </c>
      <c r="DE14" t="e">
        <f>AND(#REF!,"AAAAAHbH62w=")</f>
        <v>#REF!</v>
      </c>
      <c r="DF14" t="e">
        <f>AND(#REF!,"AAAAAHbH620=")</f>
        <v>#REF!</v>
      </c>
      <c r="DG14" t="e">
        <f>AND(#REF!,"AAAAAHbH624=")</f>
        <v>#REF!</v>
      </c>
      <c r="DH14" t="e">
        <f>AND(#REF!,"AAAAAHbH628=")</f>
        <v>#REF!</v>
      </c>
      <c r="DI14" t="e">
        <f>AND(#REF!,"AAAAAHbH63A=")</f>
        <v>#REF!</v>
      </c>
      <c r="DJ14" t="e">
        <f>AND(#REF!,"AAAAAHbH63E=")</f>
        <v>#REF!</v>
      </c>
      <c r="DK14" t="e">
        <f>AND(#REF!,"AAAAAHbH63I=")</f>
        <v>#REF!</v>
      </c>
      <c r="DL14" t="e">
        <f>AND(#REF!,"AAAAAHbH63M=")</f>
        <v>#REF!</v>
      </c>
      <c r="DM14" t="e">
        <f>IF(#REF!,"AAAAAHbH63Q=",0)</f>
        <v>#REF!</v>
      </c>
      <c r="DN14" t="e">
        <f>AND(#REF!,"AAAAAHbH63U=")</f>
        <v>#REF!</v>
      </c>
      <c r="DO14" t="e">
        <f>AND(#REF!,"AAAAAHbH63Y=")</f>
        <v>#REF!</v>
      </c>
      <c r="DP14" t="e">
        <f>AND(#REF!,"AAAAAHbH63c=")</f>
        <v>#REF!</v>
      </c>
      <c r="DQ14" t="e">
        <f>AND(#REF!,"AAAAAHbH63g=")</f>
        <v>#REF!</v>
      </c>
      <c r="DR14" t="e">
        <f>AND(#REF!,"AAAAAHbH63k=")</f>
        <v>#REF!</v>
      </c>
      <c r="DS14" t="e">
        <f>AND(#REF!,"AAAAAHbH63o=")</f>
        <v>#REF!</v>
      </c>
      <c r="DT14" t="e">
        <f>AND(#REF!,"AAAAAHbH63s=")</f>
        <v>#REF!</v>
      </c>
      <c r="DU14" t="e">
        <f>AND(#REF!,"AAAAAHbH63w=")</f>
        <v>#REF!</v>
      </c>
      <c r="DV14" t="e">
        <f>IF(#REF!,"AAAAAHbH630=",0)</f>
        <v>#REF!</v>
      </c>
      <c r="DW14" t="e">
        <f>AND(#REF!,"AAAAAHbH634=")</f>
        <v>#REF!</v>
      </c>
      <c r="DX14" t="e">
        <f>AND(#REF!,"AAAAAHbH638=")</f>
        <v>#REF!</v>
      </c>
      <c r="DY14" t="e">
        <f>AND(#REF!,"AAAAAHbH64A=")</f>
        <v>#REF!</v>
      </c>
      <c r="DZ14" t="e">
        <f>AND(#REF!,"AAAAAHbH64E=")</f>
        <v>#REF!</v>
      </c>
      <c r="EA14" t="e">
        <f>AND(#REF!,"AAAAAHbH64I=")</f>
        <v>#REF!</v>
      </c>
      <c r="EB14" t="e">
        <f>AND(#REF!,"AAAAAHbH64M=")</f>
        <v>#REF!</v>
      </c>
      <c r="EC14" t="e">
        <f>AND(#REF!,"AAAAAHbH64Q=")</f>
        <v>#REF!</v>
      </c>
      <c r="ED14" t="e">
        <f>AND(#REF!,"AAAAAHbH64U=")</f>
        <v>#REF!</v>
      </c>
      <c r="EE14" t="e">
        <f>IF(#REF!,"AAAAAHbH64Y=",0)</f>
        <v>#REF!</v>
      </c>
      <c r="EF14" t="e">
        <f>AND(#REF!,"AAAAAHbH64c=")</f>
        <v>#REF!</v>
      </c>
      <c r="EG14" t="e">
        <f>AND(#REF!,"AAAAAHbH64g=")</f>
        <v>#REF!</v>
      </c>
      <c r="EH14" t="e">
        <f>AND(#REF!,"AAAAAHbH64k=")</f>
        <v>#REF!</v>
      </c>
      <c r="EI14" t="e">
        <f>AND(#REF!,"AAAAAHbH64o=")</f>
        <v>#REF!</v>
      </c>
      <c r="EJ14" t="e">
        <f>AND(#REF!,"AAAAAHbH64s=")</f>
        <v>#REF!</v>
      </c>
      <c r="EK14" t="e">
        <f>AND(#REF!,"AAAAAHbH64w=")</f>
        <v>#REF!</v>
      </c>
      <c r="EL14" t="e">
        <f>AND(#REF!,"AAAAAHbH640=")</f>
        <v>#REF!</v>
      </c>
      <c r="EM14" t="e">
        <f>AND(#REF!,"AAAAAHbH644=")</f>
        <v>#REF!</v>
      </c>
      <c r="EN14" t="e">
        <f>IF(#REF!,"AAAAAHbH648=",0)</f>
        <v>#REF!</v>
      </c>
      <c r="EO14" t="e">
        <f>AND(#REF!,"AAAAAHbH65A=")</f>
        <v>#REF!</v>
      </c>
      <c r="EP14" t="e">
        <f>AND(#REF!,"AAAAAHbH65E=")</f>
        <v>#REF!</v>
      </c>
      <c r="EQ14" t="e">
        <f>AND(#REF!,"AAAAAHbH65I=")</f>
        <v>#REF!</v>
      </c>
      <c r="ER14" t="e">
        <f>AND(#REF!,"AAAAAHbH65M=")</f>
        <v>#REF!</v>
      </c>
      <c r="ES14" t="e">
        <f>AND(#REF!,"AAAAAHbH65Q=")</f>
        <v>#REF!</v>
      </c>
      <c r="ET14" t="e">
        <f>AND(#REF!,"AAAAAHbH65U=")</f>
        <v>#REF!</v>
      </c>
      <c r="EU14" t="e">
        <f>AND(#REF!,"AAAAAHbH65Y=")</f>
        <v>#REF!</v>
      </c>
      <c r="EV14" t="e">
        <f>AND(#REF!,"AAAAAHbH65c=")</f>
        <v>#REF!</v>
      </c>
      <c r="EW14" t="e">
        <f>IF(#REF!,"AAAAAHbH65g=",0)</f>
        <v>#REF!</v>
      </c>
      <c r="EX14" t="e">
        <f>AND(#REF!,"AAAAAHbH65k=")</f>
        <v>#REF!</v>
      </c>
      <c r="EY14" t="e">
        <f>AND(#REF!,"AAAAAHbH65o=")</f>
        <v>#REF!</v>
      </c>
      <c r="EZ14" t="e">
        <f>AND(#REF!,"AAAAAHbH65s=")</f>
        <v>#REF!</v>
      </c>
      <c r="FA14" t="e">
        <f>AND(#REF!,"AAAAAHbH65w=")</f>
        <v>#REF!</v>
      </c>
      <c r="FB14" t="e">
        <f>AND(#REF!,"AAAAAHbH650=")</f>
        <v>#REF!</v>
      </c>
      <c r="FC14" t="e">
        <f>AND(#REF!,"AAAAAHbH654=")</f>
        <v>#REF!</v>
      </c>
      <c r="FD14" t="e">
        <f>AND(#REF!,"AAAAAHbH658=")</f>
        <v>#REF!</v>
      </c>
      <c r="FE14" t="e">
        <f>AND(#REF!,"AAAAAHbH66A=")</f>
        <v>#REF!</v>
      </c>
      <c r="FF14" t="e">
        <f>IF(#REF!,"AAAAAHbH66E=",0)</f>
        <v>#REF!</v>
      </c>
      <c r="FG14" t="e">
        <f>AND(#REF!,"AAAAAHbH66I=")</f>
        <v>#REF!</v>
      </c>
      <c r="FH14" t="e">
        <f>AND(#REF!,"AAAAAHbH66M=")</f>
        <v>#REF!</v>
      </c>
      <c r="FI14" t="e">
        <f>AND(#REF!,"AAAAAHbH66Q=")</f>
        <v>#REF!</v>
      </c>
      <c r="FJ14" t="e">
        <f>AND(#REF!,"AAAAAHbH66U=")</f>
        <v>#REF!</v>
      </c>
      <c r="FK14" t="e">
        <f>AND(#REF!,"AAAAAHbH66Y=")</f>
        <v>#REF!</v>
      </c>
      <c r="FL14" t="e">
        <f>AND(#REF!,"AAAAAHbH66c=")</f>
        <v>#REF!</v>
      </c>
      <c r="FM14" t="e">
        <f>AND(#REF!,"AAAAAHbH66g=")</f>
        <v>#REF!</v>
      </c>
      <c r="FN14" t="e">
        <f>AND(#REF!,"AAAAAHbH66k=")</f>
        <v>#REF!</v>
      </c>
      <c r="FO14" t="e">
        <f>IF(#REF!,"AAAAAHbH66o=",0)</f>
        <v>#REF!</v>
      </c>
      <c r="FP14" t="e">
        <f>AND(#REF!,"AAAAAHbH66s=")</f>
        <v>#REF!</v>
      </c>
      <c r="FQ14" t="e">
        <f>AND(#REF!,"AAAAAHbH66w=")</f>
        <v>#REF!</v>
      </c>
      <c r="FR14" t="e">
        <f>AND(#REF!,"AAAAAHbH660=")</f>
        <v>#REF!</v>
      </c>
      <c r="FS14" t="e">
        <f>AND(#REF!,"AAAAAHbH664=")</f>
        <v>#REF!</v>
      </c>
      <c r="FT14" t="e">
        <f>AND(#REF!,"AAAAAHbH668=")</f>
        <v>#REF!</v>
      </c>
      <c r="FU14" t="e">
        <f>AND(#REF!,"AAAAAHbH67A=")</f>
        <v>#REF!</v>
      </c>
      <c r="FV14" t="e">
        <f>AND(#REF!,"AAAAAHbH67E=")</f>
        <v>#REF!</v>
      </c>
      <c r="FW14" t="e">
        <f>AND(#REF!,"AAAAAHbH67I=")</f>
        <v>#REF!</v>
      </c>
      <c r="FX14" t="e">
        <f>IF(#REF!,"AAAAAHbH67M=",0)</f>
        <v>#REF!</v>
      </c>
      <c r="FY14" t="e">
        <f>AND(#REF!,"AAAAAHbH67Q=")</f>
        <v>#REF!</v>
      </c>
      <c r="FZ14" t="e">
        <f>AND(#REF!,"AAAAAHbH67U=")</f>
        <v>#REF!</v>
      </c>
      <c r="GA14" t="e">
        <f>AND(#REF!,"AAAAAHbH67Y=")</f>
        <v>#REF!</v>
      </c>
      <c r="GB14" t="e">
        <f>AND(#REF!,"AAAAAHbH67c=")</f>
        <v>#REF!</v>
      </c>
      <c r="GC14" t="e">
        <f>AND(#REF!,"AAAAAHbH67g=")</f>
        <v>#REF!</v>
      </c>
      <c r="GD14" t="e">
        <f>AND(#REF!,"AAAAAHbH67k=")</f>
        <v>#REF!</v>
      </c>
      <c r="GE14" t="e">
        <f>AND(#REF!,"AAAAAHbH67o=")</f>
        <v>#REF!</v>
      </c>
      <c r="GF14" t="e">
        <f>AND(#REF!,"AAAAAHbH67s=")</f>
        <v>#REF!</v>
      </c>
      <c r="GG14" t="e">
        <f>IF(#REF!,"AAAAAHbH67w=",0)</f>
        <v>#REF!</v>
      </c>
      <c r="GH14" t="e">
        <f>AND(#REF!,"AAAAAHbH670=")</f>
        <v>#REF!</v>
      </c>
      <c r="GI14" t="e">
        <f>AND(#REF!,"AAAAAHbH674=")</f>
        <v>#REF!</v>
      </c>
      <c r="GJ14" t="e">
        <f>AND(#REF!,"AAAAAHbH678=")</f>
        <v>#REF!</v>
      </c>
      <c r="GK14" t="e">
        <f>AND(#REF!,"AAAAAHbH68A=")</f>
        <v>#REF!</v>
      </c>
      <c r="GL14" t="e">
        <f>AND(#REF!,"AAAAAHbH68E=")</f>
        <v>#REF!</v>
      </c>
      <c r="GM14" t="e">
        <f>AND(#REF!,"AAAAAHbH68I=")</f>
        <v>#REF!</v>
      </c>
      <c r="GN14" t="e">
        <f>AND(#REF!,"AAAAAHbH68M=")</f>
        <v>#REF!</v>
      </c>
      <c r="GO14" t="e">
        <f>AND(#REF!,"AAAAAHbH68Q=")</f>
        <v>#REF!</v>
      </c>
      <c r="GP14" t="e">
        <f>IF(#REF!,"AAAAAHbH68U=",0)</f>
        <v>#REF!</v>
      </c>
      <c r="GQ14" t="e">
        <f>AND(#REF!,"AAAAAHbH68Y=")</f>
        <v>#REF!</v>
      </c>
      <c r="GR14" t="e">
        <f>AND(#REF!,"AAAAAHbH68c=")</f>
        <v>#REF!</v>
      </c>
      <c r="GS14" t="e">
        <f>AND(#REF!,"AAAAAHbH68g=")</f>
        <v>#REF!</v>
      </c>
      <c r="GT14" t="e">
        <f>AND(#REF!,"AAAAAHbH68k=")</f>
        <v>#REF!</v>
      </c>
      <c r="GU14" t="e">
        <f>AND(#REF!,"AAAAAHbH68o=")</f>
        <v>#REF!</v>
      </c>
      <c r="GV14" t="e">
        <f>AND(#REF!,"AAAAAHbH68s=")</f>
        <v>#REF!</v>
      </c>
      <c r="GW14" t="e">
        <f>AND(#REF!,"AAAAAHbH68w=")</f>
        <v>#REF!</v>
      </c>
      <c r="GX14" t="e">
        <f>AND(#REF!,"AAAAAHbH680=")</f>
        <v>#REF!</v>
      </c>
      <c r="GY14" t="e">
        <f>IF(#REF!,"AAAAAHbH684=",0)</f>
        <v>#REF!</v>
      </c>
      <c r="GZ14" t="e">
        <f>AND(#REF!,"AAAAAHbH688=")</f>
        <v>#REF!</v>
      </c>
      <c r="HA14" t="e">
        <f>AND(#REF!,"AAAAAHbH69A=")</f>
        <v>#REF!</v>
      </c>
      <c r="HB14" t="e">
        <f>AND(#REF!,"AAAAAHbH69E=")</f>
        <v>#REF!</v>
      </c>
      <c r="HC14" t="e">
        <f>AND(#REF!,"AAAAAHbH69I=")</f>
        <v>#REF!</v>
      </c>
      <c r="HD14" t="e">
        <f>AND(#REF!,"AAAAAHbH69M=")</f>
        <v>#REF!</v>
      </c>
      <c r="HE14" t="e">
        <f>AND(#REF!,"AAAAAHbH69Q=")</f>
        <v>#REF!</v>
      </c>
      <c r="HF14" t="e">
        <f>AND(#REF!,"AAAAAHbH69U=")</f>
        <v>#REF!</v>
      </c>
      <c r="HG14" t="e">
        <f>AND(#REF!,"AAAAAHbH69Y=")</f>
        <v>#REF!</v>
      </c>
      <c r="HH14" t="e">
        <f>IF(#REF!,"AAAAAHbH69c=",0)</f>
        <v>#REF!</v>
      </c>
      <c r="HI14" t="e">
        <f>AND(#REF!,"AAAAAHbH69g=")</f>
        <v>#REF!</v>
      </c>
      <c r="HJ14" t="e">
        <f>AND(#REF!,"AAAAAHbH69k=")</f>
        <v>#REF!</v>
      </c>
      <c r="HK14" t="e">
        <f>AND(#REF!,"AAAAAHbH69o=")</f>
        <v>#REF!</v>
      </c>
      <c r="HL14" t="e">
        <f>AND(#REF!,"AAAAAHbH69s=")</f>
        <v>#REF!</v>
      </c>
      <c r="HM14" t="e">
        <f>AND(#REF!,"AAAAAHbH69w=")</f>
        <v>#REF!</v>
      </c>
      <c r="HN14" t="e">
        <f>AND(#REF!,"AAAAAHbH690=")</f>
        <v>#REF!</v>
      </c>
      <c r="HO14" t="e">
        <f>AND(#REF!,"AAAAAHbH694=")</f>
        <v>#REF!</v>
      </c>
      <c r="HP14" t="e">
        <f>AND(#REF!,"AAAAAHbH698=")</f>
        <v>#REF!</v>
      </c>
      <c r="HQ14" t="e">
        <f>IF(#REF!,"AAAAAHbH6+A=",0)</f>
        <v>#REF!</v>
      </c>
      <c r="HR14" t="e">
        <f>AND(#REF!,"AAAAAHbH6+E=")</f>
        <v>#REF!</v>
      </c>
      <c r="HS14" t="e">
        <f>AND(#REF!,"AAAAAHbH6+I=")</f>
        <v>#REF!</v>
      </c>
      <c r="HT14" t="e">
        <f>AND(#REF!,"AAAAAHbH6+M=")</f>
        <v>#REF!</v>
      </c>
      <c r="HU14" t="e">
        <f>AND(#REF!,"AAAAAHbH6+Q=")</f>
        <v>#REF!</v>
      </c>
      <c r="HV14" t="e">
        <f>AND(#REF!,"AAAAAHbH6+U=")</f>
        <v>#REF!</v>
      </c>
      <c r="HW14" t="e">
        <f>AND(#REF!,"AAAAAHbH6+Y=")</f>
        <v>#REF!</v>
      </c>
      <c r="HX14" t="e">
        <f>AND(#REF!,"AAAAAHbH6+c=")</f>
        <v>#REF!</v>
      </c>
      <c r="HY14" t="e">
        <f>AND(#REF!,"AAAAAHbH6+g=")</f>
        <v>#REF!</v>
      </c>
      <c r="HZ14" t="e">
        <f>IF(#REF!,"AAAAAHbH6+k=",0)</f>
        <v>#REF!</v>
      </c>
      <c r="IA14" t="e">
        <f>AND(#REF!,"AAAAAHbH6+o=")</f>
        <v>#REF!</v>
      </c>
      <c r="IB14" t="e">
        <f>AND(#REF!,"AAAAAHbH6+s=")</f>
        <v>#REF!</v>
      </c>
      <c r="IC14" t="e">
        <f>AND(#REF!,"AAAAAHbH6+w=")</f>
        <v>#REF!</v>
      </c>
      <c r="ID14" t="e">
        <f>AND(#REF!,"AAAAAHbH6+0=")</f>
        <v>#REF!</v>
      </c>
      <c r="IE14" t="e">
        <f>AND(#REF!,"AAAAAHbH6+4=")</f>
        <v>#REF!</v>
      </c>
      <c r="IF14" t="e">
        <f>AND(#REF!,"AAAAAHbH6+8=")</f>
        <v>#REF!</v>
      </c>
      <c r="IG14" t="e">
        <f>AND(#REF!,"AAAAAHbH6/A=")</f>
        <v>#REF!</v>
      </c>
      <c r="IH14" t="e">
        <f>AND(#REF!,"AAAAAHbH6/E=")</f>
        <v>#REF!</v>
      </c>
      <c r="II14" t="e">
        <f>IF(#REF!,"AAAAAHbH6/I=",0)</f>
        <v>#REF!</v>
      </c>
      <c r="IJ14" t="e">
        <f>AND(#REF!,"AAAAAHbH6/M=")</f>
        <v>#REF!</v>
      </c>
      <c r="IK14" t="e">
        <f>AND(#REF!,"AAAAAHbH6/Q=")</f>
        <v>#REF!</v>
      </c>
      <c r="IL14" t="e">
        <f>AND(#REF!,"AAAAAHbH6/U=")</f>
        <v>#REF!</v>
      </c>
      <c r="IM14" t="e">
        <f>AND(#REF!,"AAAAAHbH6/Y=")</f>
        <v>#REF!</v>
      </c>
      <c r="IN14" t="e">
        <f>AND(#REF!,"AAAAAHbH6/c=")</f>
        <v>#REF!</v>
      </c>
      <c r="IO14" t="e">
        <f>AND(#REF!,"AAAAAHbH6/g=")</f>
        <v>#REF!</v>
      </c>
      <c r="IP14" t="e">
        <f>AND(#REF!,"AAAAAHbH6/k=")</f>
        <v>#REF!</v>
      </c>
      <c r="IQ14" t="e">
        <f>AND(#REF!,"AAAAAHbH6/o=")</f>
        <v>#REF!</v>
      </c>
      <c r="IR14" t="e">
        <f>IF(#REF!,"AAAAAHbH6/s=",0)</f>
        <v>#REF!</v>
      </c>
      <c r="IS14" t="e">
        <f>AND(#REF!,"AAAAAHbH6/w=")</f>
        <v>#REF!</v>
      </c>
      <c r="IT14" t="e">
        <f>AND(#REF!,"AAAAAHbH6/0=")</f>
        <v>#REF!</v>
      </c>
      <c r="IU14" t="e">
        <f>AND(#REF!,"AAAAAHbH6/4=")</f>
        <v>#REF!</v>
      </c>
      <c r="IV14" t="e">
        <f>AND(#REF!,"AAAAAHbH6/8=")</f>
        <v>#REF!</v>
      </c>
    </row>
    <row r="15" spans="1:256" x14ac:dyDescent="0.35">
      <c r="A15" t="e">
        <f>AND(#REF!,"AAAAAH7e6gA=")</f>
        <v>#REF!</v>
      </c>
      <c r="B15" t="e">
        <f>AND(#REF!,"AAAAAH7e6gE=")</f>
        <v>#REF!</v>
      </c>
      <c r="C15" t="e">
        <f>AND(#REF!,"AAAAAH7e6gI=")</f>
        <v>#REF!</v>
      </c>
      <c r="D15" t="e">
        <f>AND(#REF!,"AAAAAH7e6gM=")</f>
        <v>#REF!</v>
      </c>
      <c r="E15" t="e">
        <f>IF(#REF!,"AAAAAH7e6gQ=",0)</f>
        <v>#REF!</v>
      </c>
      <c r="F15" t="e">
        <f>AND(#REF!,"AAAAAH7e6gU=")</f>
        <v>#REF!</v>
      </c>
      <c r="G15" t="e">
        <f>AND(#REF!,"AAAAAH7e6gY=")</f>
        <v>#REF!</v>
      </c>
      <c r="H15" t="e">
        <f>AND(#REF!,"AAAAAH7e6gc=")</f>
        <v>#REF!</v>
      </c>
      <c r="I15" t="e">
        <f>AND(#REF!,"AAAAAH7e6gg=")</f>
        <v>#REF!</v>
      </c>
      <c r="J15" t="e">
        <f>AND(#REF!,"AAAAAH7e6gk=")</f>
        <v>#REF!</v>
      </c>
      <c r="K15" t="e">
        <f>AND(#REF!,"AAAAAH7e6go=")</f>
        <v>#REF!</v>
      </c>
      <c r="L15" t="e">
        <f>AND(#REF!,"AAAAAH7e6gs=")</f>
        <v>#REF!</v>
      </c>
      <c r="M15" t="e">
        <f>AND(#REF!,"AAAAAH7e6gw=")</f>
        <v>#REF!</v>
      </c>
      <c r="N15" t="e">
        <f>IF(#REF!,"AAAAAH7e6g0=",0)</f>
        <v>#REF!</v>
      </c>
      <c r="O15" t="e">
        <f>AND(#REF!,"AAAAAH7e6g4=")</f>
        <v>#REF!</v>
      </c>
      <c r="P15" t="e">
        <f>AND(#REF!,"AAAAAH7e6g8=")</f>
        <v>#REF!</v>
      </c>
      <c r="Q15" t="e">
        <f>AND(#REF!,"AAAAAH7e6hA=")</f>
        <v>#REF!</v>
      </c>
      <c r="R15" t="e">
        <f>AND(#REF!,"AAAAAH7e6hE=")</f>
        <v>#REF!</v>
      </c>
      <c r="S15" t="e">
        <f>AND(#REF!,"AAAAAH7e6hI=")</f>
        <v>#REF!</v>
      </c>
      <c r="T15" t="e">
        <f>AND(#REF!,"AAAAAH7e6hM=")</f>
        <v>#REF!</v>
      </c>
      <c r="U15" t="e">
        <f>AND(#REF!,"AAAAAH7e6hQ=")</f>
        <v>#REF!</v>
      </c>
      <c r="V15" t="e">
        <f>AND(#REF!,"AAAAAH7e6hU=")</f>
        <v>#REF!</v>
      </c>
      <c r="W15" t="e">
        <f>IF(#REF!,"AAAAAH7e6hY=",0)</f>
        <v>#REF!</v>
      </c>
      <c r="X15" t="e">
        <f>AND(#REF!,"AAAAAH7e6hc=")</f>
        <v>#REF!</v>
      </c>
      <c r="Y15" t="e">
        <f>AND(#REF!,"AAAAAH7e6hg=")</f>
        <v>#REF!</v>
      </c>
      <c r="Z15" t="e">
        <f>AND(#REF!,"AAAAAH7e6hk=")</f>
        <v>#REF!</v>
      </c>
      <c r="AA15" t="e">
        <f>AND(#REF!,"AAAAAH7e6ho=")</f>
        <v>#REF!</v>
      </c>
      <c r="AB15" t="e">
        <f>AND(#REF!,"AAAAAH7e6hs=")</f>
        <v>#REF!</v>
      </c>
      <c r="AC15" t="e">
        <f>AND(#REF!,"AAAAAH7e6hw=")</f>
        <v>#REF!</v>
      </c>
      <c r="AD15" t="e">
        <f>AND(#REF!,"AAAAAH7e6h0=")</f>
        <v>#REF!</v>
      </c>
      <c r="AE15" t="e">
        <f>AND(#REF!,"AAAAAH7e6h4=")</f>
        <v>#REF!</v>
      </c>
      <c r="AF15" t="e">
        <f>IF(#REF!,"AAAAAH7e6h8=",0)</f>
        <v>#REF!</v>
      </c>
      <c r="AG15" t="e">
        <f>AND(#REF!,"AAAAAH7e6iA=")</f>
        <v>#REF!</v>
      </c>
      <c r="AH15" t="e">
        <f>AND(#REF!,"AAAAAH7e6iE=")</f>
        <v>#REF!</v>
      </c>
      <c r="AI15" t="e">
        <f>AND(#REF!,"AAAAAH7e6iI=")</f>
        <v>#REF!</v>
      </c>
      <c r="AJ15" t="e">
        <f>AND(#REF!,"AAAAAH7e6iM=")</f>
        <v>#REF!</v>
      </c>
      <c r="AK15" t="e">
        <f>AND(#REF!,"AAAAAH7e6iQ=")</f>
        <v>#REF!</v>
      </c>
      <c r="AL15" t="e">
        <f>AND(#REF!,"AAAAAH7e6iU=")</f>
        <v>#REF!</v>
      </c>
      <c r="AM15" t="e">
        <f>AND(#REF!,"AAAAAH7e6iY=")</f>
        <v>#REF!</v>
      </c>
      <c r="AN15" t="e">
        <f>AND(#REF!,"AAAAAH7e6ic=")</f>
        <v>#REF!</v>
      </c>
      <c r="AO15" t="e">
        <f>IF(#REF!,"AAAAAH7e6ig=",0)</f>
        <v>#REF!</v>
      </c>
      <c r="AP15" t="e">
        <f>AND(#REF!,"AAAAAH7e6ik=")</f>
        <v>#REF!</v>
      </c>
      <c r="AQ15" t="e">
        <f>AND(#REF!,"AAAAAH7e6io=")</f>
        <v>#REF!</v>
      </c>
      <c r="AR15" t="e">
        <f>AND(#REF!,"AAAAAH7e6is=")</f>
        <v>#REF!</v>
      </c>
      <c r="AS15" t="e">
        <f>AND(#REF!,"AAAAAH7e6iw=")</f>
        <v>#REF!</v>
      </c>
      <c r="AT15" t="e">
        <f>AND(#REF!,"AAAAAH7e6i0=")</f>
        <v>#REF!</v>
      </c>
      <c r="AU15" t="e">
        <f>AND(#REF!,"AAAAAH7e6i4=")</f>
        <v>#REF!</v>
      </c>
      <c r="AV15" t="e">
        <f>AND(#REF!,"AAAAAH7e6i8=")</f>
        <v>#REF!</v>
      </c>
      <c r="AW15" t="e">
        <f>AND(#REF!,"AAAAAH7e6jA=")</f>
        <v>#REF!</v>
      </c>
      <c r="AX15" t="e">
        <f>IF(#REF!,"AAAAAH7e6jE=",0)</f>
        <v>#REF!</v>
      </c>
      <c r="AY15" t="e">
        <f>AND(#REF!,"AAAAAH7e6jI=")</f>
        <v>#REF!</v>
      </c>
      <c r="AZ15" t="e">
        <f>AND(#REF!,"AAAAAH7e6jM=")</f>
        <v>#REF!</v>
      </c>
      <c r="BA15" t="e">
        <f>AND(#REF!,"AAAAAH7e6jQ=")</f>
        <v>#REF!</v>
      </c>
      <c r="BB15" t="e">
        <f>AND(#REF!,"AAAAAH7e6jU=")</f>
        <v>#REF!</v>
      </c>
      <c r="BC15" t="e">
        <f>AND(#REF!,"AAAAAH7e6jY=")</f>
        <v>#REF!</v>
      </c>
      <c r="BD15" t="e">
        <f>AND(#REF!,"AAAAAH7e6jc=")</f>
        <v>#REF!</v>
      </c>
      <c r="BE15" t="e">
        <f>AND(#REF!,"AAAAAH7e6jg=")</f>
        <v>#REF!</v>
      </c>
      <c r="BF15" t="e">
        <f>AND(#REF!,"AAAAAH7e6jk=")</f>
        <v>#REF!</v>
      </c>
      <c r="BG15" t="e">
        <f>IF(#REF!,"AAAAAH7e6jo=",0)</f>
        <v>#REF!</v>
      </c>
      <c r="BH15" t="e">
        <f>AND(#REF!,"AAAAAH7e6js=")</f>
        <v>#REF!</v>
      </c>
      <c r="BI15" t="e">
        <f>AND(#REF!,"AAAAAH7e6jw=")</f>
        <v>#REF!</v>
      </c>
      <c r="BJ15" t="e">
        <f>AND(#REF!,"AAAAAH7e6j0=")</f>
        <v>#REF!</v>
      </c>
      <c r="BK15" t="e">
        <f>AND(#REF!,"AAAAAH7e6j4=")</f>
        <v>#REF!</v>
      </c>
      <c r="BL15" t="e">
        <f>AND(#REF!,"AAAAAH7e6j8=")</f>
        <v>#REF!</v>
      </c>
      <c r="BM15" t="e">
        <f>AND(#REF!,"AAAAAH7e6kA=")</f>
        <v>#REF!</v>
      </c>
      <c r="BN15" t="e">
        <f>AND(#REF!,"AAAAAH7e6kE=")</f>
        <v>#REF!</v>
      </c>
      <c r="BO15" t="e">
        <f>AND(#REF!,"AAAAAH7e6kI=")</f>
        <v>#REF!</v>
      </c>
      <c r="BP15" t="e">
        <f>IF(#REF!,"AAAAAH7e6kM=",0)</f>
        <v>#REF!</v>
      </c>
      <c r="BQ15" t="e">
        <f>AND(#REF!,"AAAAAH7e6kQ=")</f>
        <v>#REF!</v>
      </c>
      <c r="BR15" t="e">
        <f>AND(#REF!,"AAAAAH7e6kU=")</f>
        <v>#REF!</v>
      </c>
      <c r="BS15" t="e">
        <f>AND(#REF!,"AAAAAH7e6kY=")</f>
        <v>#REF!</v>
      </c>
      <c r="BT15" t="e">
        <f>AND(#REF!,"AAAAAH7e6kc=")</f>
        <v>#REF!</v>
      </c>
      <c r="BU15" t="e">
        <f>AND(#REF!,"AAAAAH7e6kg=")</f>
        <v>#REF!</v>
      </c>
      <c r="BV15" t="e">
        <f>AND(#REF!,"AAAAAH7e6kk=")</f>
        <v>#REF!</v>
      </c>
      <c r="BW15" t="e">
        <f>AND(#REF!,"AAAAAH7e6ko=")</f>
        <v>#REF!</v>
      </c>
      <c r="BX15" t="e">
        <f>AND(#REF!,"AAAAAH7e6ks=")</f>
        <v>#REF!</v>
      </c>
      <c r="BY15" t="e">
        <f>IF(#REF!,"AAAAAH7e6kw=",0)</f>
        <v>#REF!</v>
      </c>
      <c r="BZ15" t="e">
        <f>AND(#REF!,"AAAAAH7e6k0=")</f>
        <v>#REF!</v>
      </c>
      <c r="CA15" t="e">
        <f>AND(#REF!,"AAAAAH7e6k4=")</f>
        <v>#REF!</v>
      </c>
      <c r="CB15" t="e">
        <f>AND(#REF!,"AAAAAH7e6k8=")</f>
        <v>#REF!</v>
      </c>
      <c r="CC15" t="e">
        <f>AND(#REF!,"AAAAAH7e6lA=")</f>
        <v>#REF!</v>
      </c>
      <c r="CD15" t="e">
        <f>AND(#REF!,"AAAAAH7e6lE=")</f>
        <v>#REF!</v>
      </c>
      <c r="CE15" t="e">
        <f>AND(#REF!,"AAAAAH7e6lI=")</f>
        <v>#REF!</v>
      </c>
      <c r="CF15" t="e">
        <f>AND(#REF!,"AAAAAH7e6lM=")</f>
        <v>#REF!</v>
      </c>
      <c r="CG15" t="e">
        <f>AND(#REF!,"AAAAAH7e6lQ=")</f>
        <v>#REF!</v>
      </c>
      <c r="CH15" t="e">
        <f>IF(#REF!,"AAAAAH7e6lU=",0)</f>
        <v>#REF!</v>
      </c>
      <c r="CI15" t="e">
        <f>AND(#REF!,"AAAAAH7e6lY=")</f>
        <v>#REF!</v>
      </c>
      <c r="CJ15" t="e">
        <f>AND(#REF!,"AAAAAH7e6lc=")</f>
        <v>#REF!</v>
      </c>
      <c r="CK15" t="e">
        <f>AND(#REF!,"AAAAAH7e6lg=")</f>
        <v>#REF!</v>
      </c>
      <c r="CL15" t="e">
        <f>AND(#REF!,"AAAAAH7e6lk=")</f>
        <v>#REF!</v>
      </c>
      <c r="CM15" t="e">
        <f>AND(#REF!,"AAAAAH7e6lo=")</f>
        <v>#REF!</v>
      </c>
      <c r="CN15" t="e">
        <f>AND(#REF!,"AAAAAH7e6ls=")</f>
        <v>#REF!</v>
      </c>
      <c r="CO15" t="e">
        <f>AND(#REF!,"AAAAAH7e6lw=")</f>
        <v>#REF!</v>
      </c>
      <c r="CP15" t="e">
        <f>AND(#REF!,"AAAAAH7e6l0=")</f>
        <v>#REF!</v>
      </c>
      <c r="CQ15" t="e">
        <f>IF(#REF!,"AAAAAH7e6l4=",0)</f>
        <v>#REF!</v>
      </c>
      <c r="CR15" t="e">
        <f>IF(#REF!,"AAAAAH7e6l8=",0)</f>
        <v>#REF!</v>
      </c>
      <c r="CS15" t="e">
        <f>IF(#REF!,"AAAAAH7e6mA=",0)</f>
        <v>#REF!</v>
      </c>
      <c r="CT15" t="e">
        <f>IF(#REF!,"AAAAAH7e6mE=",0)</f>
        <v>#REF!</v>
      </c>
      <c r="CU15" t="e">
        <f>IF(#REF!,"AAAAAH7e6mI=",0)</f>
        <v>#REF!</v>
      </c>
      <c r="CV15" t="e">
        <f>IF(#REF!,"AAAAAH7e6mM=",0)</f>
        <v>#REF!</v>
      </c>
      <c r="CW15" t="e">
        <f>IF(#REF!,"AAAAAH7e6mQ=",0)</f>
        <v>#REF!</v>
      </c>
      <c r="CX15" t="e">
        <f>IF(#REF!,"AAAAAH7e6mU=",0)</f>
        <v>#REF!</v>
      </c>
      <c r="CY15" t="e">
        <f>IF(#REF!,"AAAAAH7e6mY=",0)</f>
        <v>#REF!</v>
      </c>
      <c r="CZ15" t="e">
        <f>IF(#REF!,"AAAAAH7e6mc=",0)</f>
        <v>#REF!</v>
      </c>
      <c r="DA15" t="e">
        <f>IF(#REF!,"AAAAAH7e6mg=",0)</f>
        <v>#REF!</v>
      </c>
      <c r="DB15" t="e">
        <f>IF(#REF!,"AAAAAH7e6mk=",0)</f>
        <v>#REF!</v>
      </c>
      <c r="DC15" t="e">
        <f>IF(#REF!,"AAAAAH7e6mo=",0)</f>
        <v>#REF!</v>
      </c>
      <c r="DD15" t="e">
        <f>IF(#REF!,"AAAAAH7e6ms=",0)</f>
        <v>#REF!</v>
      </c>
      <c r="DE15" t="e">
        <f>AND(#REF!,"AAAAAH7e6mw=")</f>
        <v>#REF!</v>
      </c>
      <c r="DF15" t="e">
        <f>AND(#REF!,"AAAAAH7e6m0=")</f>
        <v>#REF!</v>
      </c>
      <c r="DG15" t="e">
        <f>AND(#REF!,"AAAAAH7e6m4=")</f>
        <v>#REF!</v>
      </c>
      <c r="DH15" t="e">
        <f>AND(#REF!,"AAAAAH7e6m8=")</f>
        <v>#REF!</v>
      </c>
      <c r="DI15" t="e">
        <f>AND(#REF!,"AAAAAH7e6nA=")</f>
        <v>#REF!</v>
      </c>
      <c r="DJ15" t="e">
        <f>AND(#REF!,"AAAAAH7e6nE=")</f>
        <v>#REF!</v>
      </c>
      <c r="DK15" t="e">
        <f>AND(#REF!,"AAAAAH7e6nI=")</f>
        <v>#REF!</v>
      </c>
      <c r="DL15" t="e">
        <f>AND(#REF!,"AAAAAH7e6nM=")</f>
        <v>#REF!</v>
      </c>
      <c r="DM15" t="e">
        <f>AND(#REF!,"AAAAAH7e6nQ=")</f>
        <v>#REF!</v>
      </c>
      <c r="DN15" t="e">
        <f>AND(#REF!,"AAAAAH7e6nU=")</f>
        <v>#REF!</v>
      </c>
      <c r="DO15" t="e">
        <f>AND(#REF!,"AAAAAH7e6nY=")</f>
        <v>#REF!</v>
      </c>
      <c r="DP15" t="e">
        <f>AND(#REF!,"AAAAAH7e6nc=")</f>
        <v>#REF!</v>
      </c>
      <c r="DQ15" t="e">
        <f>AND(#REF!,"AAAAAH7e6ng=")</f>
        <v>#REF!</v>
      </c>
      <c r="DR15" t="e">
        <f>IF(#REF!,"AAAAAH7e6nk=",0)</f>
        <v>#REF!</v>
      </c>
      <c r="DS15" t="e">
        <f>AND(#REF!,"AAAAAH7e6no=")</f>
        <v>#REF!</v>
      </c>
      <c r="DT15" t="e">
        <f>AND(#REF!,"AAAAAH7e6ns=")</f>
        <v>#REF!</v>
      </c>
      <c r="DU15" t="e">
        <f>AND(#REF!,"AAAAAH7e6nw=")</f>
        <v>#REF!</v>
      </c>
      <c r="DV15" t="e">
        <f>AND(#REF!,"AAAAAH7e6n0=")</f>
        <v>#REF!</v>
      </c>
      <c r="DW15" t="e">
        <f>AND(#REF!,"AAAAAH7e6n4=")</f>
        <v>#REF!</v>
      </c>
      <c r="DX15" t="e">
        <f>AND(#REF!,"AAAAAH7e6n8=")</f>
        <v>#REF!</v>
      </c>
      <c r="DY15" t="e">
        <f>AND(#REF!,"AAAAAH7e6oA=")</f>
        <v>#REF!</v>
      </c>
      <c r="DZ15" t="e">
        <f>AND(#REF!,"AAAAAH7e6oE=")</f>
        <v>#REF!</v>
      </c>
      <c r="EA15" t="e">
        <f>AND(#REF!,"AAAAAH7e6oI=")</f>
        <v>#REF!</v>
      </c>
      <c r="EB15" t="e">
        <f>AND(#REF!,"AAAAAH7e6oM=")</f>
        <v>#REF!</v>
      </c>
      <c r="EC15" t="e">
        <f>AND(#REF!,"AAAAAH7e6oQ=")</f>
        <v>#REF!</v>
      </c>
      <c r="ED15" t="e">
        <f>AND(#REF!,"AAAAAH7e6oU=")</f>
        <v>#REF!</v>
      </c>
      <c r="EE15" t="e">
        <f>AND(#REF!,"AAAAAH7e6oY=")</f>
        <v>#REF!</v>
      </c>
      <c r="EF15" t="e">
        <f>IF(#REF!,"AAAAAH7e6oc=",0)</f>
        <v>#REF!</v>
      </c>
      <c r="EG15" t="e">
        <f>AND(#REF!,"AAAAAH7e6og=")</f>
        <v>#REF!</v>
      </c>
      <c r="EH15" t="e">
        <f>AND(#REF!,"AAAAAH7e6ok=")</f>
        <v>#REF!</v>
      </c>
      <c r="EI15" t="e">
        <f>AND(#REF!,"AAAAAH7e6oo=")</f>
        <v>#REF!</v>
      </c>
      <c r="EJ15" t="e">
        <f>AND(#REF!,"AAAAAH7e6os=")</f>
        <v>#REF!</v>
      </c>
      <c r="EK15" t="e">
        <f>AND(#REF!,"AAAAAH7e6ow=")</f>
        <v>#REF!</v>
      </c>
      <c r="EL15" t="e">
        <f>AND(#REF!,"AAAAAH7e6o0=")</f>
        <v>#REF!</v>
      </c>
      <c r="EM15" t="e">
        <f>AND(#REF!,"AAAAAH7e6o4=")</f>
        <v>#REF!</v>
      </c>
      <c r="EN15" t="e">
        <f>AND(#REF!,"AAAAAH7e6o8=")</f>
        <v>#REF!</v>
      </c>
      <c r="EO15" t="e">
        <f>AND(#REF!,"AAAAAH7e6pA=")</f>
        <v>#REF!</v>
      </c>
      <c r="EP15" t="e">
        <f>AND(#REF!,"AAAAAH7e6pE=")</f>
        <v>#REF!</v>
      </c>
      <c r="EQ15" t="e">
        <f>AND(#REF!,"AAAAAH7e6pI=")</f>
        <v>#REF!</v>
      </c>
      <c r="ER15" t="e">
        <f>AND(#REF!,"AAAAAH7e6pM=")</f>
        <v>#REF!</v>
      </c>
      <c r="ES15" t="e">
        <f>AND(#REF!,"AAAAAH7e6pQ=")</f>
        <v>#REF!</v>
      </c>
      <c r="ET15" t="e">
        <f>IF(#REF!,"AAAAAH7e6pU=",0)</f>
        <v>#REF!</v>
      </c>
      <c r="EU15" t="e">
        <f>AND(#REF!,"AAAAAH7e6pY=")</f>
        <v>#REF!</v>
      </c>
      <c r="EV15" t="e">
        <f>AND(#REF!,"AAAAAH7e6pc=")</f>
        <v>#REF!</v>
      </c>
      <c r="EW15" t="e">
        <f>AND(#REF!,"AAAAAH7e6pg=")</f>
        <v>#REF!</v>
      </c>
      <c r="EX15" t="e">
        <f>AND(#REF!,"AAAAAH7e6pk=")</f>
        <v>#REF!</v>
      </c>
      <c r="EY15" t="e">
        <f>AND(#REF!,"AAAAAH7e6po=")</f>
        <v>#REF!</v>
      </c>
      <c r="EZ15" t="e">
        <f>AND(#REF!,"AAAAAH7e6ps=")</f>
        <v>#REF!</v>
      </c>
      <c r="FA15" t="e">
        <f>AND(#REF!,"AAAAAH7e6pw=")</f>
        <v>#REF!</v>
      </c>
      <c r="FB15" t="e">
        <f>AND(#REF!,"AAAAAH7e6p0=")</f>
        <v>#REF!</v>
      </c>
      <c r="FC15" t="e">
        <f>AND(#REF!,"AAAAAH7e6p4=")</f>
        <v>#REF!</v>
      </c>
      <c r="FD15" t="e">
        <f>AND(#REF!,"AAAAAH7e6p8=")</f>
        <v>#REF!</v>
      </c>
      <c r="FE15" t="e">
        <f>AND(#REF!,"AAAAAH7e6qA=")</f>
        <v>#REF!</v>
      </c>
      <c r="FF15" t="e">
        <f>AND(#REF!,"AAAAAH7e6qE=")</f>
        <v>#REF!</v>
      </c>
      <c r="FG15" t="e">
        <f>AND(#REF!,"AAAAAH7e6qI=")</f>
        <v>#REF!</v>
      </c>
      <c r="FH15" t="e">
        <f>IF(#REF!,"AAAAAH7e6qM=",0)</f>
        <v>#REF!</v>
      </c>
      <c r="FI15" t="e">
        <f>AND(#REF!,"AAAAAH7e6qQ=")</f>
        <v>#REF!</v>
      </c>
      <c r="FJ15" t="e">
        <f>AND(#REF!,"AAAAAH7e6qU=")</f>
        <v>#REF!</v>
      </c>
      <c r="FK15" t="e">
        <f>AND(#REF!,"AAAAAH7e6qY=")</f>
        <v>#REF!</v>
      </c>
      <c r="FL15" t="e">
        <f>AND(#REF!,"AAAAAH7e6qc=")</f>
        <v>#REF!</v>
      </c>
      <c r="FM15" t="e">
        <f>AND(#REF!,"AAAAAH7e6qg=")</f>
        <v>#REF!</v>
      </c>
      <c r="FN15" t="e">
        <f>AND(#REF!,"AAAAAH7e6qk=")</f>
        <v>#REF!</v>
      </c>
      <c r="FO15" t="e">
        <f>AND(#REF!,"AAAAAH7e6qo=")</f>
        <v>#REF!</v>
      </c>
      <c r="FP15" t="e">
        <f>AND(#REF!,"AAAAAH7e6qs=")</f>
        <v>#REF!</v>
      </c>
      <c r="FQ15" t="e">
        <f>AND(#REF!,"AAAAAH7e6qw=")</f>
        <v>#REF!</v>
      </c>
      <c r="FR15" t="e">
        <f>AND(#REF!,"AAAAAH7e6q0=")</f>
        <v>#REF!</v>
      </c>
      <c r="FS15" t="e">
        <f>AND(#REF!,"AAAAAH7e6q4=")</f>
        <v>#REF!</v>
      </c>
      <c r="FT15" t="e">
        <f>AND(#REF!,"AAAAAH7e6q8=")</f>
        <v>#REF!</v>
      </c>
      <c r="FU15" t="e">
        <f>AND(#REF!,"AAAAAH7e6rA=")</f>
        <v>#REF!</v>
      </c>
      <c r="FV15" t="e">
        <f>IF(#REF!,"AAAAAH7e6rE=",0)</f>
        <v>#REF!</v>
      </c>
      <c r="FW15" t="e">
        <f>AND(#REF!,"AAAAAH7e6rI=")</f>
        <v>#REF!</v>
      </c>
      <c r="FX15" t="e">
        <f>AND(#REF!,"AAAAAH7e6rM=")</f>
        <v>#REF!</v>
      </c>
      <c r="FY15" t="e">
        <f>AND(#REF!,"AAAAAH7e6rQ=")</f>
        <v>#REF!</v>
      </c>
      <c r="FZ15" t="e">
        <f>AND(#REF!,"AAAAAH7e6rU=")</f>
        <v>#REF!</v>
      </c>
      <c r="GA15" t="e">
        <f>AND(#REF!,"AAAAAH7e6rY=")</f>
        <v>#REF!</v>
      </c>
      <c r="GB15" t="e">
        <f>AND(#REF!,"AAAAAH7e6rc=")</f>
        <v>#REF!</v>
      </c>
      <c r="GC15" t="e">
        <f>AND(#REF!,"AAAAAH7e6rg=")</f>
        <v>#REF!</v>
      </c>
      <c r="GD15" t="e">
        <f>AND(#REF!,"AAAAAH7e6rk=")</f>
        <v>#REF!</v>
      </c>
      <c r="GE15" t="e">
        <f>AND(#REF!,"AAAAAH7e6ro=")</f>
        <v>#REF!</v>
      </c>
      <c r="GF15" t="e">
        <f>AND(#REF!,"AAAAAH7e6rs=")</f>
        <v>#REF!</v>
      </c>
      <c r="GG15" t="e">
        <f>AND(#REF!,"AAAAAH7e6rw=")</f>
        <v>#REF!</v>
      </c>
      <c r="GH15" t="e">
        <f>AND(#REF!,"AAAAAH7e6r0=")</f>
        <v>#REF!</v>
      </c>
      <c r="GI15" t="e">
        <f>AND(#REF!,"AAAAAH7e6r4=")</f>
        <v>#REF!</v>
      </c>
      <c r="GJ15" t="e">
        <f>IF(#REF!,"AAAAAH7e6r8=",0)</f>
        <v>#REF!</v>
      </c>
      <c r="GK15" t="e">
        <f>AND(#REF!,"AAAAAH7e6sA=")</f>
        <v>#REF!</v>
      </c>
      <c r="GL15" t="e">
        <f>AND(#REF!,"AAAAAH7e6sE=")</f>
        <v>#REF!</v>
      </c>
      <c r="GM15" t="e">
        <f>AND(#REF!,"AAAAAH7e6sI=")</f>
        <v>#REF!</v>
      </c>
      <c r="GN15" t="e">
        <f>AND(#REF!,"AAAAAH7e6sM=")</f>
        <v>#REF!</v>
      </c>
      <c r="GO15" t="e">
        <f>AND(#REF!,"AAAAAH7e6sQ=")</f>
        <v>#REF!</v>
      </c>
      <c r="GP15" t="e">
        <f>AND(#REF!,"AAAAAH7e6sU=")</f>
        <v>#REF!</v>
      </c>
      <c r="GQ15" t="e">
        <f>AND(#REF!,"AAAAAH7e6sY=")</f>
        <v>#REF!</v>
      </c>
      <c r="GR15" t="e">
        <f>AND(#REF!,"AAAAAH7e6sc=")</f>
        <v>#REF!</v>
      </c>
      <c r="GS15" t="e">
        <f>AND(#REF!,"AAAAAH7e6sg=")</f>
        <v>#REF!</v>
      </c>
      <c r="GT15" t="e">
        <f>AND(#REF!,"AAAAAH7e6sk=")</f>
        <v>#REF!</v>
      </c>
      <c r="GU15" t="e">
        <f>AND(#REF!,"AAAAAH7e6so=")</f>
        <v>#REF!</v>
      </c>
      <c r="GV15" t="e">
        <f>AND(#REF!,"AAAAAH7e6ss=")</f>
        <v>#REF!</v>
      </c>
      <c r="GW15" t="e">
        <f>AND(#REF!,"AAAAAH7e6sw=")</f>
        <v>#REF!</v>
      </c>
      <c r="GX15" t="e">
        <f>IF(#REF!,"AAAAAH7e6s0=",0)</f>
        <v>#REF!</v>
      </c>
      <c r="GY15" t="e">
        <f>AND(#REF!,"AAAAAH7e6s4=")</f>
        <v>#REF!</v>
      </c>
      <c r="GZ15" t="e">
        <f>AND(#REF!,"AAAAAH7e6s8=")</f>
        <v>#REF!</v>
      </c>
      <c r="HA15" t="e">
        <f>AND(#REF!,"AAAAAH7e6tA=")</f>
        <v>#REF!</v>
      </c>
      <c r="HB15" t="e">
        <f>AND(#REF!,"AAAAAH7e6tE=")</f>
        <v>#REF!</v>
      </c>
      <c r="HC15" t="e">
        <f>AND(#REF!,"AAAAAH7e6tI=")</f>
        <v>#REF!</v>
      </c>
      <c r="HD15" t="e">
        <f>AND(#REF!,"AAAAAH7e6tM=")</f>
        <v>#REF!</v>
      </c>
      <c r="HE15" t="e">
        <f>AND(#REF!,"AAAAAH7e6tQ=")</f>
        <v>#REF!</v>
      </c>
      <c r="HF15" t="e">
        <f>AND(#REF!,"AAAAAH7e6tU=")</f>
        <v>#REF!</v>
      </c>
      <c r="HG15" t="e">
        <f>AND(#REF!,"AAAAAH7e6tY=")</f>
        <v>#REF!</v>
      </c>
      <c r="HH15" t="e">
        <f>AND(#REF!,"AAAAAH7e6tc=")</f>
        <v>#REF!</v>
      </c>
      <c r="HI15" t="e">
        <f>AND(#REF!,"AAAAAH7e6tg=")</f>
        <v>#REF!</v>
      </c>
      <c r="HJ15" t="e">
        <f>AND(#REF!,"AAAAAH7e6tk=")</f>
        <v>#REF!</v>
      </c>
      <c r="HK15" t="e">
        <f>AND(#REF!,"AAAAAH7e6to=")</f>
        <v>#REF!</v>
      </c>
      <c r="HL15" t="e">
        <f>IF(#REF!,"AAAAAH7e6ts=",0)</f>
        <v>#REF!</v>
      </c>
      <c r="HM15" t="e">
        <f>AND(#REF!,"AAAAAH7e6tw=")</f>
        <v>#REF!</v>
      </c>
      <c r="HN15" t="e">
        <f>AND(#REF!,"AAAAAH7e6t0=")</f>
        <v>#REF!</v>
      </c>
      <c r="HO15" t="e">
        <f>AND(#REF!,"AAAAAH7e6t4=")</f>
        <v>#REF!</v>
      </c>
      <c r="HP15" t="e">
        <f>AND(#REF!,"AAAAAH7e6t8=")</f>
        <v>#REF!</v>
      </c>
      <c r="HQ15" t="e">
        <f>AND(#REF!,"AAAAAH7e6uA=")</f>
        <v>#REF!</v>
      </c>
      <c r="HR15" t="e">
        <f>AND(#REF!,"AAAAAH7e6uE=")</f>
        <v>#REF!</v>
      </c>
      <c r="HS15" t="e">
        <f>AND(#REF!,"AAAAAH7e6uI=")</f>
        <v>#REF!</v>
      </c>
      <c r="HT15" t="e">
        <f>AND(#REF!,"AAAAAH7e6uM=")</f>
        <v>#REF!</v>
      </c>
      <c r="HU15" t="e">
        <f>AND(#REF!,"AAAAAH7e6uQ=")</f>
        <v>#REF!</v>
      </c>
      <c r="HV15" t="e">
        <f>AND(#REF!,"AAAAAH7e6uU=")</f>
        <v>#REF!</v>
      </c>
      <c r="HW15" t="e">
        <f>AND(#REF!,"AAAAAH7e6uY=")</f>
        <v>#REF!</v>
      </c>
      <c r="HX15" t="e">
        <f>AND(#REF!,"AAAAAH7e6uc=")</f>
        <v>#REF!</v>
      </c>
      <c r="HY15" t="e">
        <f>AND(#REF!,"AAAAAH7e6ug=")</f>
        <v>#REF!</v>
      </c>
      <c r="HZ15" t="e">
        <f>IF(#REF!,"AAAAAH7e6uk=",0)</f>
        <v>#REF!</v>
      </c>
      <c r="IA15" t="e">
        <f>AND(#REF!,"AAAAAH7e6uo=")</f>
        <v>#REF!</v>
      </c>
      <c r="IB15" t="e">
        <f>AND(#REF!,"AAAAAH7e6us=")</f>
        <v>#REF!</v>
      </c>
      <c r="IC15" t="e">
        <f>AND(#REF!,"AAAAAH7e6uw=")</f>
        <v>#REF!</v>
      </c>
      <c r="ID15" t="e">
        <f>AND(#REF!,"AAAAAH7e6u0=")</f>
        <v>#REF!</v>
      </c>
      <c r="IE15" t="e">
        <f>AND(#REF!,"AAAAAH7e6u4=")</f>
        <v>#REF!</v>
      </c>
      <c r="IF15" t="e">
        <f>AND(#REF!,"AAAAAH7e6u8=")</f>
        <v>#REF!</v>
      </c>
      <c r="IG15" t="e">
        <f>AND(#REF!,"AAAAAH7e6vA=")</f>
        <v>#REF!</v>
      </c>
      <c r="IH15" t="e">
        <f>AND(#REF!,"AAAAAH7e6vE=")</f>
        <v>#REF!</v>
      </c>
      <c r="II15" t="e">
        <f>AND(#REF!,"AAAAAH7e6vI=")</f>
        <v>#REF!</v>
      </c>
      <c r="IJ15" t="e">
        <f>AND(#REF!,"AAAAAH7e6vM=")</f>
        <v>#REF!</v>
      </c>
      <c r="IK15" t="e">
        <f>AND(#REF!,"AAAAAH7e6vQ=")</f>
        <v>#REF!</v>
      </c>
      <c r="IL15" t="e">
        <f>AND(#REF!,"AAAAAH7e6vU=")</f>
        <v>#REF!</v>
      </c>
      <c r="IM15" t="e">
        <f>AND(#REF!,"AAAAAH7e6vY=")</f>
        <v>#REF!</v>
      </c>
      <c r="IN15" t="e">
        <f>IF(#REF!,"AAAAAH7e6vc=",0)</f>
        <v>#REF!</v>
      </c>
      <c r="IO15" t="e">
        <f>AND(#REF!,"AAAAAH7e6vg=")</f>
        <v>#REF!</v>
      </c>
      <c r="IP15" t="e">
        <f>AND(#REF!,"AAAAAH7e6vk=")</f>
        <v>#REF!</v>
      </c>
      <c r="IQ15" t="e">
        <f>AND(#REF!,"AAAAAH7e6vo=")</f>
        <v>#REF!</v>
      </c>
      <c r="IR15" t="e">
        <f>AND(#REF!,"AAAAAH7e6vs=")</f>
        <v>#REF!</v>
      </c>
      <c r="IS15" t="e">
        <f>AND(#REF!,"AAAAAH7e6vw=")</f>
        <v>#REF!</v>
      </c>
      <c r="IT15" t="e">
        <f>AND(#REF!,"AAAAAH7e6v0=")</f>
        <v>#REF!</v>
      </c>
      <c r="IU15" t="e">
        <f>AND(#REF!,"AAAAAH7e6v4=")</f>
        <v>#REF!</v>
      </c>
      <c r="IV15" t="e">
        <f>AND(#REF!,"AAAAAH7e6v8=")</f>
        <v>#REF!</v>
      </c>
    </row>
    <row r="16" spans="1:256" x14ac:dyDescent="0.35">
      <c r="A16" t="e">
        <f>AND(#REF!,"AAAAAH+6/QA=")</f>
        <v>#REF!</v>
      </c>
      <c r="B16" t="e">
        <f>AND(#REF!,"AAAAAH+6/QE=")</f>
        <v>#REF!</v>
      </c>
      <c r="C16" t="e">
        <f>AND(#REF!,"AAAAAH+6/QI=")</f>
        <v>#REF!</v>
      </c>
      <c r="D16" t="e">
        <f>AND(#REF!,"AAAAAH+6/QM=")</f>
        <v>#REF!</v>
      </c>
      <c r="E16" t="e">
        <f>AND(#REF!,"AAAAAH+6/QQ=")</f>
        <v>#REF!</v>
      </c>
      <c r="F16" t="e">
        <f>IF(#REF!,"AAAAAH+6/QU=",0)</f>
        <v>#REF!</v>
      </c>
      <c r="G16" t="e">
        <f>AND(#REF!,"AAAAAH+6/QY=")</f>
        <v>#REF!</v>
      </c>
      <c r="H16" t="e">
        <f>AND(#REF!,"AAAAAH+6/Qc=")</f>
        <v>#REF!</v>
      </c>
      <c r="I16" t="e">
        <f>AND(#REF!,"AAAAAH+6/Qg=")</f>
        <v>#REF!</v>
      </c>
      <c r="J16" t="e">
        <f>AND(#REF!,"AAAAAH+6/Qk=")</f>
        <v>#REF!</v>
      </c>
      <c r="K16" t="e">
        <f>AND(#REF!,"AAAAAH+6/Qo=")</f>
        <v>#REF!</v>
      </c>
      <c r="L16" t="e">
        <f>AND(#REF!,"AAAAAH+6/Qs=")</f>
        <v>#REF!</v>
      </c>
      <c r="M16" t="e">
        <f>AND(#REF!,"AAAAAH+6/Qw=")</f>
        <v>#REF!</v>
      </c>
      <c r="N16" t="e">
        <f>AND(#REF!,"AAAAAH+6/Q0=")</f>
        <v>#REF!</v>
      </c>
      <c r="O16" t="e">
        <f>AND(#REF!,"AAAAAH+6/Q4=")</f>
        <v>#REF!</v>
      </c>
      <c r="P16" t="e">
        <f>AND(#REF!,"AAAAAH+6/Q8=")</f>
        <v>#REF!</v>
      </c>
      <c r="Q16" t="e">
        <f>AND(#REF!,"AAAAAH+6/RA=")</f>
        <v>#REF!</v>
      </c>
      <c r="R16" t="e">
        <f>AND(#REF!,"AAAAAH+6/RE=")</f>
        <v>#REF!</v>
      </c>
      <c r="S16" t="e">
        <f>AND(#REF!,"AAAAAH+6/RI=")</f>
        <v>#REF!</v>
      </c>
      <c r="T16" t="e">
        <f>IF(#REF!,"AAAAAH+6/RM=",0)</f>
        <v>#REF!</v>
      </c>
      <c r="U16" t="e">
        <f>AND(#REF!,"AAAAAH+6/RQ=")</f>
        <v>#REF!</v>
      </c>
      <c r="V16" t="e">
        <f>AND(#REF!,"AAAAAH+6/RU=")</f>
        <v>#REF!</v>
      </c>
      <c r="W16" t="e">
        <f>AND(#REF!,"AAAAAH+6/RY=")</f>
        <v>#REF!</v>
      </c>
      <c r="X16" t="e">
        <f>AND(#REF!,"AAAAAH+6/Rc=")</f>
        <v>#REF!</v>
      </c>
      <c r="Y16" t="e">
        <f>AND(#REF!,"AAAAAH+6/Rg=")</f>
        <v>#REF!</v>
      </c>
      <c r="Z16" t="e">
        <f>AND(#REF!,"AAAAAH+6/Rk=")</f>
        <v>#REF!</v>
      </c>
      <c r="AA16" t="e">
        <f>AND(#REF!,"AAAAAH+6/Ro=")</f>
        <v>#REF!</v>
      </c>
      <c r="AB16" t="e">
        <f>AND(#REF!,"AAAAAH+6/Rs=")</f>
        <v>#REF!</v>
      </c>
      <c r="AC16" t="e">
        <f>AND(#REF!,"AAAAAH+6/Rw=")</f>
        <v>#REF!</v>
      </c>
      <c r="AD16" t="e">
        <f>AND(#REF!,"AAAAAH+6/R0=")</f>
        <v>#REF!</v>
      </c>
      <c r="AE16" t="e">
        <f>AND(#REF!,"AAAAAH+6/R4=")</f>
        <v>#REF!</v>
      </c>
      <c r="AF16" t="e">
        <f>AND(#REF!,"AAAAAH+6/R8=")</f>
        <v>#REF!</v>
      </c>
      <c r="AG16" t="e">
        <f>AND(#REF!,"AAAAAH+6/SA=")</f>
        <v>#REF!</v>
      </c>
      <c r="AH16" t="e">
        <f>IF(#REF!,"AAAAAH+6/SE=",0)</f>
        <v>#REF!</v>
      </c>
      <c r="AI16" t="e">
        <f>AND(#REF!,"AAAAAH+6/SI=")</f>
        <v>#REF!</v>
      </c>
      <c r="AJ16" t="e">
        <f>AND(#REF!,"AAAAAH+6/SM=")</f>
        <v>#REF!</v>
      </c>
      <c r="AK16" t="e">
        <f>AND(#REF!,"AAAAAH+6/SQ=")</f>
        <v>#REF!</v>
      </c>
      <c r="AL16" t="e">
        <f>AND(#REF!,"AAAAAH+6/SU=")</f>
        <v>#REF!</v>
      </c>
      <c r="AM16" t="e">
        <f>AND(#REF!,"AAAAAH+6/SY=")</f>
        <v>#REF!</v>
      </c>
      <c r="AN16" t="e">
        <f>AND(#REF!,"AAAAAH+6/Sc=")</f>
        <v>#REF!</v>
      </c>
      <c r="AO16" t="e">
        <f>AND(#REF!,"AAAAAH+6/Sg=")</f>
        <v>#REF!</v>
      </c>
      <c r="AP16" t="e">
        <f>AND(#REF!,"AAAAAH+6/Sk=")</f>
        <v>#REF!</v>
      </c>
      <c r="AQ16" t="e">
        <f>AND(#REF!,"AAAAAH+6/So=")</f>
        <v>#REF!</v>
      </c>
      <c r="AR16" t="e">
        <f>AND(#REF!,"AAAAAH+6/Ss=")</f>
        <v>#REF!</v>
      </c>
      <c r="AS16" t="e">
        <f>AND(#REF!,"AAAAAH+6/Sw=")</f>
        <v>#REF!</v>
      </c>
      <c r="AT16" t="e">
        <f>AND(#REF!,"AAAAAH+6/S0=")</f>
        <v>#REF!</v>
      </c>
      <c r="AU16" t="e">
        <f>AND(#REF!,"AAAAAH+6/S4=")</f>
        <v>#REF!</v>
      </c>
      <c r="AV16" t="e">
        <f>IF(#REF!,"AAAAAH+6/S8=",0)</f>
        <v>#REF!</v>
      </c>
      <c r="AW16" t="e">
        <f>AND(#REF!,"AAAAAH+6/TA=")</f>
        <v>#REF!</v>
      </c>
      <c r="AX16" t="e">
        <f>AND(#REF!,"AAAAAH+6/TE=")</f>
        <v>#REF!</v>
      </c>
      <c r="AY16" t="e">
        <f>AND(#REF!,"AAAAAH+6/TI=")</f>
        <v>#REF!</v>
      </c>
      <c r="AZ16" t="e">
        <f>AND(#REF!,"AAAAAH+6/TM=")</f>
        <v>#REF!</v>
      </c>
      <c r="BA16" t="e">
        <f>AND(#REF!,"AAAAAH+6/TQ=")</f>
        <v>#REF!</v>
      </c>
      <c r="BB16" t="e">
        <f>AND(#REF!,"AAAAAH+6/TU=")</f>
        <v>#REF!</v>
      </c>
      <c r="BC16" t="e">
        <f>AND(#REF!,"AAAAAH+6/TY=")</f>
        <v>#REF!</v>
      </c>
      <c r="BD16" t="e">
        <f>AND(#REF!,"AAAAAH+6/Tc=")</f>
        <v>#REF!</v>
      </c>
      <c r="BE16" t="e">
        <f>AND(#REF!,"AAAAAH+6/Tg=")</f>
        <v>#REF!</v>
      </c>
      <c r="BF16" t="e">
        <f>AND(#REF!,"AAAAAH+6/Tk=")</f>
        <v>#REF!</v>
      </c>
      <c r="BG16" t="e">
        <f>AND(#REF!,"AAAAAH+6/To=")</f>
        <v>#REF!</v>
      </c>
      <c r="BH16" t="e">
        <f>AND(#REF!,"AAAAAH+6/Ts=")</f>
        <v>#REF!</v>
      </c>
      <c r="BI16" t="e">
        <f>AND(#REF!,"AAAAAH+6/Tw=")</f>
        <v>#REF!</v>
      </c>
      <c r="BJ16" t="e">
        <f>IF(#REF!,"AAAAAH+6/T0=",0)</f>
        <v>#REF!</v>
      </c>
      <c r="BK16" t="e">
        <f>AND(#REF!,"AAAAAH+6/T4=")</f>
        <v>#REF!</v>
      </c>
      <c r="BL16" t="e">
        <f>AND(#REF!,"AAAAAH+6/T8=")</f>
        <v>#REF!</v>
      </c>
      <c r="BM16" t="e">
        <f>AND(#REF!,"AAAAAH+6/UA=")</f>
        <v>#REF!</v>
      </c>
      <c r="BN16" t="e">
        <f>AND(#REF!,"AAAAAH+6/UE=")</f>
        <v>#REF!</v>
      </c>
      <c r="BO16" t="e">
        <f>AND(#REF!,"AAAAAH+6/UI=")</f>
        <v>#REF!</v>
      </c>
      <c r="BP16" t="e">
        <f>AND(#REF!,"AAAAAH+6/UM=")</f>
        <v>#REF!</v>
      </c>
      <c r="BQ16" t="e">
        <f>AND(#REF!,"AAAAAH+6/UQ=")</f>
        <v>#REF!</v>
      </c>
      <c r="BR16" t="e">
        <f>AND(#REF!,"AAAAAH+6/UU=")</f>
        <v>#REF!</v>
      </c>
      <c r="BS16" t="e">
        <f>AND(#REF!,"AAAAAH+6/UY=")</f>
        <v>#REF!</v>
      </c>
      <c r="BT16" t="e">
        <f>AND(#REF!,"AAAAAH+6/Uc=")</f>
        <v>#REF!</v>
      </c>
      <c r="BU16" t="e">
        <f>AND(#REF!,"AAAAAH+6/Ug=")</f>
        <v>#REF!</v>
      </c>
      <c r="BV16" t="e">
        <f>AND(#REF!,"AAAAAH+6/Uk=")</f>
        <v>#REF!</v>
      </c>
      <c r="BW16" t="e">
        <f>AND(#REF!,"AAAAAH+6/Uo=")</f>
        <v>#REF!</v>
      </c>
      <c r="BX16" t="e">
        <f>IF(#REF!,"AAAAAH+6/Us=",0)</f>
        <v>#REF!</v>
      </c>
      <c r="BY16" t="e">
        <f>AND(#REF!,"AAAAAH+6/Uw=")</f>
        <v>#REF!</v>
      </c>
      <c r="BZ16" t="e">
        <f>AND(#REF!,"AAAAAH+6/U0=")</f>
        <v>#REF!</v>
      </c>
      <c r="CA16" t="e">
        <f>AND(#REF!,"AAAAAH+6/U4=")</f>
        <v>#REF!</v>
      </c>
      <c r="CB16" t="e">
        <f>AND(#REF!,"AAAAAH+6/U8=")</f>
        <v>#REF!</v>
      </c>
      <c r="CC16" t="e">
        <f>AND(#REF!,"AAAAAH+6/VA=")</f>
        <v>#REF!</v>
      </c>
      <c r="CD16" t="e">
        <f>AND(#REF!,"AAAAAH+6/VE=")</f>
        <v>#REF!</v>
      </c>
      <c r="CE16" t="e">
        <f>AND(#REF!,"AAAAAH+6/VI=")</f>
        <v>#REF!</v>
      </c>
      <c r="CF16" t="e">
        <f>AND(#REF!,"AAAAAH+6/VM=")</f>
        <v>#REF!</v>
      </c>
      <c r="CG16" t="e">
        <f>AND(#REF!,"AAAAAH+6/VQ=")</f>
        <v>#REF!</v>
      </c>
      <c r="CH16" t="e">
        <f>AND(#REF!,"AAAAAH+6/VU=")</f>
        <v>#REF!</v>
      </c>
      <c r="CI16" t="e">
        <f>AND(#REF!,"AAAAAH+6/VY=")</f>
        <v>#REF!</v>
      </c>
      <c r="CJ16" t="e">
        <f>AND(#REF!,"AAAAAH+6/Vc=")</f>
        <v>#REF!</v>
      </c>
      <c r="CK16" t="e">
        <f>AND(#REF!,"AAAAAH+6/Vg=")</f>
        <v>#REF!</v>
      </c>
      <c r="CL16" t="e">
        <f>IF(#REF!,"AAAAAH+6/Vk=",0)</f>
        <v>#REF!</v>
      </c>
      <c r="CM16" t="e">
        <f>AND(#REF!,"AAAAAH+6/Vo=")</f>
        <v>#REF!</v>
      </c>
      <c r="CN16" t="e">
        <f>AND(#REF!,"AAAAAH+6/Vs=")</f>
        <v>#REF!</v>
      </c>
      <c r="CO16" t="e">
        <f>AND(#REF!,"AAAAAH+6/Vw=")</f>
        <v>#REF!</v>
      </c>
      <c r="CP16" t="e">
        <f>AND(#REF!,"AAAAAH+6/V0=")</f>
        <v>#REF!</v>
      </c>
      <c r="CQ16" t="e">
        <f>AND(#REF!,"AAAAAH+6/V4=")</f>
        <v>#REF!</v>
      </c>
      <c r="CR16" t="e">
        <f>AND(#REF!,"AAAAAH+6/V8=")</f>
        <v>#REF!</v>
      </c>
      <c r="CS16" t="e">
        <f>AND(#REF!,"AAAAAH+6/WA=")</f>
        <v>#REF!</v>
      </c>
      <c r="CT16" t="e">
        <f>AND(#REF!,"AAAAAH+6/WE=")</f>
        <v>#REF!</v>
      </c>
      <c r="CU16" t="e">
        <f>AND(#REF!,"AAAAAH+6/WI=")</f>
        <v>#REF!</v>
      </c>
      <c r="CV16" t="e">
        <f>AND(#REF!,"AAAAAH+6/WM=")</f>
        <v>#REF!</v>
      </c>
      <c r="CW16" t="e">
        <f>AND(#REF!,"AAAAAH+6/WQ=")</f>
        <v>#REF!</v>
      </c>
      <c r="CX16" t="e">
        <f>AND(#REF!,"AAAAAH+6/WU=")</f>
        <v>#REF!</v>
      </c>
      <c r="CY16" t="e">
        <f>AND(#REF!,"AAAAAH+6/WY=")</f>
        <v>#REF!</v>
      </c>
      <c r="CZ16" t="e">
        <f>IF(#REF!,"AAAAAH+6/Wc=",0)</f>
        <v>#REF!</v>
      </c>
      <c r="DA16" t="e">
        <f>AND(#REF!,"AAAAAH+6/Wg=")</f>
        <v>#REF!</v>
      </c>
      <c r="DB16" t="e">
        <f>AND(#REF!,"AAAAAH+6/Wk=")</f>
        <v>#REF!</v>
      </c>
      <c r="DC16" t="e">
        <f>AND(#REF!,"AAAAAH+6/Wo=")</f>
        <v>#REF!</v>
      </c>
      <c r="DD16" t="e">
        <f>AND(#REF!,"AAAAAH+6/Ws=")</f>
        <v>#REF!</v>
      </c>
      <c r="DE16" t="e">
        <f>AND(#REF!,"AAAAAH+6/Ww=")</f>
        <v>#REF!</v>
      </c>
      <c r="DF16" t="e">
        <f>AND(#REF!,"AAAAAH+6/W0=")</f>
        <v>#REF!</v>
      </c>
      <c r="DG16" t="e">
        <f>AND(#REF!,"AAAAAH+6/W4=")</f>
        <v>#REF!</v>
      </c>
      <c r="DH16" t="e">
        <f>AND(#REF!,"AAAAAH+6/W8=")</f>
        <v>#REF!</v>
      </c>
      <c r="DI16" t="e">
        <f>AND(#REF!,"AAAAAH+6/XA=")</f>
        <v>#REF!</v>
      </c>
      <c r="DJ16" t="e">
        <f>AND(#REF!,"AAAAAH+6/XE=")</f>
        <v>#REF!</v>
      </c>
      <c r="DK16" t="e">
        <f>AND(#REF!,"AAAAAH+6/XI=")</f>
        <v>#REF!</v>
      </c>
      <c r="DL16" t="e">
        <f>AND(#REF!,"AAAAAH+6/XM=")</f>
        <v>#REF!</v>
      </c>
      <c r="DM16" t="e">
        <f>AND(#REF!,"AAAAAH+6/XQ=")</f>
        <v>#REF!</v>
      </c>
      <c r="DN16" t="e">
        <f>IF(#REF!,"AAAAAH+6/XU=",0)</f>
        <v>#REF!</v>
      </c>
      <c r="DO16" t="e">
        <f>AND(#REF!,"AAAAAH+6/XY=")</f>
        <v>#REF!</v>
      </c>
      <c r="DP16" t="e">
        <f>AND(#REF!,"AAAAAH+6/Xc=")</f>
        <v>#REF!</v>
      </c>
      <c r="DQ16" t="e">
        <f>AND(#REF!,"AAAAAH+6/Xg=")</f>
        <v>#REF!</v>
      </c>
      <c r="DR16" t="e">
        <f>AND(#REF!,"AAAAAH+6/Xk=")</f>
        <v>#REF!</v>
      </c>
      <c r="DS16" t="e">
        <f>AND(#REF!,"AAAAAH+6/Xo=")</f>
        <v>#REF!</v>
      </c>
      <c r="DT16" t="e">
        <f>AND(#REF!,"AAAAAH+6/Xs=")</f>
        <v>#REF!</v>
      </c>
      <c r="DU16" t="e">
        <f>AND(#REF!,"AAAAAH+6/Xw=")</f>
        <v>#REF!</v>
      </c>
      <c r="DV16" t="e">
        <f>AND(#REF!,"AAAAAH+6/X0=")</f>
        <v>#REF!</v>
      </c>
      <c r="DW16" t="e">
        <f>AND(#REF!,"AAAAAH+6/X4=")</f>
        <v>#REF!</v>
      </c>
      <c r="DX16" t="e">
        <f>AND(#REF!,"AAAAAH+6/X8=")</f>
        <v>#REF!</v>
      </c>
      <c r="DY16" t="e">
        <f>AND(#REF!,"AAAAAH+6/YA=")</f>
        <v>#REF!</v>
      </c>
      <c r="DZ16" t="e">
        <f>AND(#REF!,"AAAAAH+6/YE=")</f>
        <v>#REF!</v>
      </c>
      <c r="EA16" t="e">
        <f>AND(#REF!,"AAAAAH+6/YI=")</f>
        <v>#REF!</v>
      </c>
      <c r="EB16" t="e">
        <f>IF(#REF!,"AAAAAH+6/YM=",0)</f>
        <v>#REF!</v>
      </c>
      <c r="EC16" t="e">
        <f>AND(#REF!,"AAAAAH+6/YQ=")</f>
        <v>#REF!</v>
      </c>
      <c r="ED16" t="e">
        <f>AND(#REF!,"AAAAAH+6/YU=")</f>
        <v>#REF!</v>
      </c>
      <c r="EE16" t="e">
        <f>AND(#REF!,"AAAAAH+6/YY=")</f>
        <v>#REF!</v>
      </c>
      <c r="EF16" t="e">
        <f>AND(#REF!,"AAAAAH+6/Yc=")</f>
        <v>#REF!</v>
      </c>
      <c r="EG16" t="e">
        <f>AND(#REF!,"AAAAAH+6/Yg=")</f>
        <v>#REF!</v>
      </c>
      <c r="EH16" t="e">
        <f>AND(#REF!,"AAAAAH+6/Yk=")</f>
        <v>#REF!</v>
      </c>
      <c r="EI16" t="e">
        <f>AND(#REF!,"AAAAAH+6/Yo=")</f>
        <v>#REF!</v>
      </c>
      <c r="EJ16" t="e">
        <f>AND(#REF!,"AAAAAH+6/Ys=")</f>
        <v>#REF!</v>
      </c>
      <c r="EK16" t="e">
        <f>AND(#REF!,"AAAAAH+6/Yw=")</f>
        <v>#REF!</v>
      </c>
      <c r="EL16" t="e">
        <f>AND(#REF!,"AAAAAH+6/Y0=")</f>
        <v>#REF!</v>
      </c>
      <c r="EM16" t="e">
        <f>AND(#REF!,"AAAAAH+6/Y4=")</f>
        <v>#REF!</v>
      </c>
      <c r="EN16" t="e">
        <f>AND(#REF!,"AAAAAH+6/Y8=")</f>
        <v>#REF!</v>
      </c>
      <c r="EO16" t="e">
        <f>AND(#REF!,"AAAAAH+6/ZA=")</f>
        <v>#REF!</v>
      </c>
      <c r="EP16" t="e">
        <f>IF(#REF!,"AAAAAH+6/ZE=",0)</f>
        <v>#REF!</v>
      </c>
      <c r="EQ16" t="e">
        <f>AND(#REF!,"AAAAAH+6/ZI=")</f>
        <v>#REF!</v>
      </c>
      <c r="ER16" t="e">
        <f>AND(#REF!,"AAAAAH+6/ZM=")</f>
        <v>#REF!</v>
      </c>
      <c r="ES16" t="e">
        <f>AND(#REF!,"AAAAAH+6/ZQ=")</f>
        <v>#REF!</v>
      </c>
      <c r="ET16" t="e">
        <f>AND(#REF!,"AAAAAH+6/ZU=")</f>
        <v>#REF!</v>
      </c>
      <c r="EU16" t="e">
        <f>AND(#REF!,"AAAAAH+6/ZY=")</f>
        <v>#REF!</v>
      </c>
      <c r="EV16" t="e">
        <f>AND(#REF!,"AAAAAH+6/Zc=")</f>
        <v>#REF!</v>
      </c>
      <c r="EW16" t="e">
        <f>AND(#REF!,"AAAAAH+6/Zg=")</f>
        <v>#REF!</v>
      </c>
      <c r="EX16" t="e">
        <f>AND(#REF!,"AAAAAH+6/Zk=")</f>
        <v>#REF!</v>
      </c>
      <c r="EY16" t="e">
        <f>AND(#REF!,"AAAAAH+6/Zo=")</f>
        <v>#REF!</v>
      </c>
      <c r="EZ16" t="e">
        <f>AND(#REF!,"AAAAAH+6/Zs=")</f>
        <v>#REF!</v>
      </c>
      <c r="FA16" t="e">
        <f>AND(#REF!,"AAAAAH+6/Zw=")</f>
        <v>#REF!</v>
      </c>
      <c r="FB16" t="e">
        <f>AND(#REF!,"AAAAAH+6/Z0=")</f>
        <v>#REF!</v>
      </c>
      <c r="FC16" t="e">
        <f>AND(#REF!,"AAAAAH+6/Z4=")</f>
        <v>#REF!</v>
      </c>
      <c r="FD16" t="e">
        <f>IF(#REF!,"AAAAAH+6/Z8=",0)</f>
        <v>#REF!</v>
      </c>
      <c r="FE16" t="e">
        <f>AND(#REF!,"AAAAAH+6/aA=")</f>
        <v>#REF!</v>
      </c>
      <c r="FF16" t="e">
        <f>AND(#REF!,"AAAAAH+6/aE=")</f>
        <v>#REF!</v>
      </c>
      <c r="FG16" t="e">
        <f>AND(#REF!,"AAAAAH+6/aI=")</f>
        <v>#REF!</v>
      </c>
      <c r="FH16" t="e">
        <f>AND(#REF!,"AAAAAH+6/aM=")</f>
        <v>#REF!</v>
      </c>
      <c r="FI16" t="e">
        <f>AND(#REF!,"AAAAAH+6/aQ=")</f>
        <v>#REF!</v>
      </c>
      <c r="FJ16" t="e">
        <f>AND(#REF!,"AAAAAH+6/aU=")</f>
        <v>#REF!</v>
      </c>
      <c r="FK16" t="e">
        <f>AND(#REF!,"AAAAAH+6/aY=")</f>
        <v>#REF!</v>
      </c>
      <c r="FL16" t="e">
        <f>AND(#REF!,"AAAAAH+6/ac=")</f>
        <v>#REF!</v>
      </c>
      <c r="FM16" t="e">
        <f>AND(#REF!,"AAAAAH+6/ag=")</f>
        <v>#REF!</v>
      </c>
      <c r="FN16" t="e">
        <f>AND(#REF!,"AAAAAH+6/ak=")</f>
        <v>#REF!</v>
      </c>
      <c r="FO16" t="e">
        <f>AND(#REF!,"AAAAAH+6/ao=")</f>
        <v>#REF!</v>
      </c>
      <c r="FP16" t="e">
        <f>AND(#REF!,"AAAAAH+6/as=")</f>
        <v>#REF!</v>
      </c>
      <c r="FQ16" t="e">
        <f>AND(#REF!,"AAAAAH+6/aw=")</f>
        <v>#REF!</v>
      </c>
      <c r="FR16" t="e">
        <f>IF(#REF!,"AAAAAH+6/a0=",0)</f>
        <v>#REF!</v>
      </c>
      <c r="FS16" t="e">
        <f>AND(#REF!,"AAAAAH+6/a4=")</f>
        <v>#REF!</v>
      </c>
      <c r="FT16" t="e">
        <f>AND(#REF!,"AAAAAH+6/a8=")</f>
        <v>#REF!</v>
      </c>
      <c r="FU16" t="e">
        <f>AND(#REF!,"AAAAAH+6/bA=")</f>
        <v>#REF!</v>
      </c>
      <c r="FV16" t="e">
        <f>AND(#REF!,"AAAAAH+6/bE=")</f>
        <v>#REF!</v>
      </c>
      <c r="FW16" t="e">
        <f>AND(#REF!,"AAAAAH+6/bI=")</f>
        <v>#REF!</v>
      </c>
      <c r="FX16" t="e">
        <f>AND(#REF!,"AAAAAH+6/bM=")</f>
        <v>#REF!</v>
      </c>
      <c r="FY16" t="e">
        <f>AND(#REF!,"AAAAAH+6/bQ=")</f>
        <v>#REF!</v>
      </c>
      <c r="FZ16" t="e">
        <f>AND(#REF!,"AAAAAH+6/bU=")</f>
        <v>#REF!</v>
      </c>
      <c r="GA16" t="e">
        <f>AND(#REF!,"AAAAAH+6/bY=")</f>
        <v>#REF!</v>
      </c>
      <c r="GB16" t="e">
        <f>AND(#REF!,"AAAAAH+6/bc=")</f>
        <v>#REF!</v>
      </c>
      <c r="GC16" t="e">
        <f>AND(#REF!,"AAAAAH+6/bg=")</f>
        <v>#REF!</v>
      </c>
      <c r="GD16" t="e">
        <f>AND(#REF!,"AAAAAH+6/bk=")</f>
        <v>#REF!</v>
      </c>
      <c r="GE16" t="e">
        <f>AND(#REF!,"AAAAAH+6/bo=")</f>
        <v>#REF!</v>
      </c>
      <c r="GF16" t="e">
        <f>IF(#REF!,"AAAAAH+6/bs=",0)</f>
        <v>#REF!</v>
      </c>
      <c r="GG16" t="e">
        <f>AND(#REF!,"AAAAAH+6/bw=")</f>
        <v>#REF!</v>
      </c>
      <c r="GH16" t="e">
        <f>AND(#REF!,"AAAAAH+6/b0=")</f>
        <v>#REF!</v>
      </c>
      <c r="GI16" t="e">
        <f>AND(#REF!,"AAAAAH+6/b4=")</f>
        <v>#REF!</v>
      </c>
      <c r="GJ16" t="e">
        <f>AND(#REF!,"AAAAAH+6/b8=")</f>
        <v>#REF!</v>
      </c>
      <c r="GK16" t="e">
        <f>AND(#REF!,"AAAAAH+6/cA=")</f>
        <v>#REF!</v>
      </c>
      <c r="GL16" t="e">
        <f>AND(#REF!,"AAAAAH+6/cE=")</f>
        <v>#REF!</v>
      </c>
      <c r="GM16" t="e">
        <f>AND(#REF!,"AAAAAH+6/cI=")</f>
        <v>#REF!</v>
      </c>
      <c r="GN16" t="e">
        <f>AND(#REF!,"AAAAAH+6/cM=")</f>
        <v>#REF!</v>
      </c>
      <c r="GO16" t="e">
        <f>IF(#REF!,"AAAAAH+6/cQ=",0)</f>
        <v>#REF!</v>
      </c>
      <c r="GP16" t="e">
        <f>AND(#REF!,"AAAAAH+6/cU=")</f>
        <v>#REF!</v>
      </c>
      <c r="GQ16" t="e">
        <f>AND(#REF!,"AAAAAH+6/cY=")</f>
        <v>#REF!</v>
      </c>
      <c r="GR16" t="e">
        <f>AND(#REF!,"AAAAAH+6/cc=")</f>
        <v>#REF!</v>
      </c>
      <c r="GS16" t="e">
        <f>AND(#REF!,"AAAAAH+6/cg=")</f>
        <v>#REF!</v>
      </c>
      <c r="GT16" t="e">
        <f>AND(#REF!,"AAAAAH+6/ck=")</f>
        <v>#REF!</v>
      </c>
      <c r="GU16" t="e">
        <f>AND(#REF!,"AAAAAH+6/co=")</f>
        <v>#REF!</v>
      </c>
      <c r="GV16" t="e">
        <f>AND(#REF!,"AAAAAH+6/cs=")</f>
        <v>#REF!</v>
      </c>
      <c r="GW16" t="e">
        <f>AND(#REF!,"AAAAAH+6/cw=")</f>
        <v>#REF!</v>
      </c>
      <c r="GX16" t="e">
        <f>IF(#REF!,"AAAAAH+6/c0=",0)</f>
        <v>#REF!</v>
      </c>
      <c r="GY16" t="e">
        <f>AND(#REF!,"AAAAAH+6/c4=")</f>
        <v>#REF!</v>
      </c>
      <c r="GZ16" t="e">
        <f>AND(#REF!,"AAAAAH+6/c8=")</f>
        <v>#REF!</v>
      </c>
      <c r="HA16" t="e">
        <f>AND(#REF!,"AAAAAH+6/dA=")</f>
        <v>#REF!</v>
      </c>
      <c r="HB16" t="e">
        <f>AND(#REF!,"AAAAAH+6/dE=")</f>
        <v>#REF!</v>
      </c>
      <c r="HC16" t="e">
        <f>AND(#REF!,"AAAAAH+6/dI=")</f>
        <v>#REF!</v>
      </c>
      <c r="HD16" t="e">
        <f>AND(#REF!,"AAAAAH+6/dM=")</f>
        <v>#REF!</v>
      </c>
      <c r="HE16" t="e">
        <f>AND(#REF!,"AAAAAH+6/dQ=")</f>
        <v>#REF!</v>
      </c>
      <c r="HF16" t="e">
        <f>AND(#REF!,"AAAAAH+6/dU=")</f>
        <v>#REF!</v>
      </c>
      <c r="HG16" t="e">
        <f>IF(#REF!,"AAAAAH+6/dY=",0)</f>
        <v>#REF!</v>
      </c>
      <c r="HH16" t="e">
        <f>AND(#REF!,"AAAAAH+6/dc=")</f>
        <v>#REF!</v>
      </c>
      <c r="HI16" t="e">
        <f>AND(#REF!,"AAAAAH+6/dg=")</f>
        <v>#REF!</v>
      </c>
      <c r="HJ16" t="e">
        <f>AND(#REF!,"AAAAAH+6/dk=")</f>
        <v>#REF!</v>
      </c>
      <c r="HK16" t="e">
        <f>AND(#REF!,"AAAAAH+6/do=")</f>
        <v>#REF!</v>
      </c>
      <c r="HL16" t="e">
        <f>AND(#REF!,"AAAAAH+6/ds=")</f>
        <v>#REF!</v>
      </c>
      <c r="HM16" t="e">
        <f>AND(#REF!,"AAAAAH+6/dw=")</f>
        <v>#REF!</v>
      </c>
      <c r="HN16" t="e">
        <f>AND(#REF!,"AAAAAH+6/d0=")</f>
        <v>#REF!</v>
      </c>
      <c r="HO16" t="e">
        <f>AND(#REF!,"AAAAAH+6/d4=")</f>
        <v>#REF!</v>
      </c>
      <c r="HP16" t="e">
        <f>IF(#REF!,"AAAAAH+6/d8=",0)</f>
        <v>#REF!</v>
      </c>
      <c r="HQ16" t="e">
        <f>AND(#REF!,"AAAAAH+6/eA=")</f>
        <v>#REF!</v>
      </c>
      <c r="HR16" t="e">
        <f>AND(#REF!,"AAAAAH+6/eE=")</f>
        <v>#REF!</v>
      </c>
      <c r="HS16" t="e">
        <f>AND(#REF!,"AAAAAH+6/eI=")</f>
        <v>#REF!</v>
      </c>
      <c r="HT16" t="e">
        <f>AND(#REF!,"AAAAAH+6/eM=")</f>
        <v>#REF!</v>
      </c>
      <c r="HU16" t="e">
        <f>AND(#REF!,"AAAAAH+6/eQ=")</f>
        <v>#REF!</v>
      </c>
      <c r="HV16" t="e">
        <f>AND(#REF!,"AAAAAH+6/eU=")</f>
        <v>#REF!</v>
      </c>
      <c r="HW16" t="e">
        <f>AND(#REF!,"AAAAAH+6/eY=")</f>
        <v>#REF!</v>
      </c>
      <c r="HX16" t="e">
        <f>AND(#REF!,"AAAAAH+6/ec=")</f>
        <v>#REF!</v>
      </c>
      <c r="HY16" t="e">
        <f>IF(#REF!,"AAAAAH+6/eg=",0)</f>
        <v>#REF!</v>
      </c>
      <c r="HZ16" t="e">
        <f>AND(#REF!,"AAAAAH+6/ek=")</f>
        <v>#REF!</v>
      </c>
      <c r="IA16" t="e">
        <f>AND(#REF!,"AAAAAH+6/eo=")</f>
        <v>#REF!</v>
      </c>
      <c r="IB16" t="e">
        <f>AND(#REF!,"AAAAAH+6/es=")</f>
        <v>#REF!</v>
      </c>
      <c r="IC16" t="e">
        <f>AND(#REF!,"AAAAAH+6/ew=")</f>
        <v>#REF!</v>
      </c>
      <c r="ID16" t="e">
        <f>AND(#REF!,"AAAAAH+6/e0=")</f>
        <v>#REF!</v>
      </c>
      <c r="IE16" t="e">
        <f>AND(#REF!,"AAAAAH+6/e4=")</f>
        <v>#REF!</v>
      </c>
      <c r="IF16" t="e">
        <f>AND(#REF!,"AAAAAH+6/e8=")</f>
        <v>#REF!</v>
      </c>
      <c r="IG16" t="e">
        <f>AND(#REF!,"AAAAAH+6/fA=")</f>
        <v>#REF!</v>
      </c>
      <c r="IH16" t="e">
        <f>IF(#REF!,"AAAAAH+6/fE=",0)</f>
        <v>#REF!</v>
      </c>
      <c r="II16" t="e">
        <f>AND(#REF!,"AAAAAH+6/fI=")</f>
        <v>#REF!</v>
      </c>
      <c r="IJ16" t="e">
        <f>AND(#REF!,"AAAAAH+6/fM=")</f>
        <v>#REF!</v>
      </c>
      <c r="IK16" t="e">
        <f>AND(#REF!,"AAAAAH+6/fQ=")</f>
        <v>#REF!</v>
      </c>
      <c r="IL16" t="e">
        <f>AND(#REF!,"AAAAAH+6/fU=")</f>
        <v>#REF!</v>
      </c>
      <c r="IM16" t="e">
        <f>AND(#REF!,"AAAAAH+6/fY=")</f>
        <v>#REF!</v>
      </c>
      <c r="IN16" t="e">
        <f>AND(#REF!,"AAAAAH+6/fc=")</f>
        <v>#REF!</v>
      </c>
      <c r="IO16" t="e">
        <f>AND(#REF!,"AAAAAH+6/fg=")</f>
        <v>#REF!</v>
      </c>
      <c r="IP16" t="e">
        <f>AND(#REF!,"AAAAAH+6/fk=")</f>
        <v>#REF!</v>
      </c>
      <c r="IQ16" t="e">
        <f>IF(#REF!,"AAAAAH+6/fo=",0)</f>
        <v>#REF!</v>
      </c>
      <c r="IR16" t="e">
        <f>AND(#REF!,"AAAAAH+6/fs=")</f>
        <v>#REF!</v>
      </c>
      <c r="IS16" t="e">
        <f>AND(#REF!,"AAAAAH+6/fw=")</f>
        <v>#REF!</v>
      </c>
      <c r="IT16" t="e">
        <f>AND(#REF!,"AAAAAH+6/f0=")</f>
        <v>#REF!</v>
      </c>
      <c r="IU16" t="e">
        <f>AND(#REF!,"AAAAAH+6/f4=")</f>
        <v>#REF!</v>
      </c>
      <c r="IV16" t="e">
        <f>AND(#REF!,"AAAAAH+6/f8=")</f>
        <v>#REF!</v>
      </c>
    </row>
    <row r="17" spans="1:256" x14ac:dyDescent="0.35">
      <c r="A17" t="e">
        <f>AND(#REF!,"AAAAAFvn9QA=")</f>
        <v>#REF!</v>
      </c>
      <c r="B17" t="e">
        <f>AND(#REF!,"AAAAAFvn9QE=")</f>
        <v>#REF!</v>
      </c>
      <c r="C17" t="e">
        <f>AND(#REF!,"AAAAAFvn9QI=")</f>
        <v>#REF!</v>
      </c>
      <c r="D17" t="e">
        <f>IF(#REF!,"AAAAAFvn9QM=",0)</f>
        <v>#REF!</v>
      </c>
      <c r="E17" t="e">
        <f>AND(#REF!,"AAAAAFvn9QQ=")</f>
        <v>#REF!</v>
      </c>
      <c r="F17" t="e">
        <f>AND(#REF!,"AAAAAFvn9QU=")</f>
        <v>#REF!</v>
      </c>
      <c r="G17" t="e">
        <f>AND(#REF!,"AAAAAFvn9QY=")</f>
        <v>#REF!</v>
      </c>
      <c r="H17" t="e">
        <f>AND(#REF!,"AAAAAFvn9Qc=")</f>
        <v>#REF!</v>
      </c>
      <c r="I17" t="e">
        <f>AND(#REF!,"AAAAAFvn9Qg=")</f>
        <v>#REF!</v>
      </c>
      <c r="J17" t="e">
        <f>AND(#REF!,"AAAAAFvn9Qk=")</f>
        <v>#REF!</v>
      </c>
      <c r="K17" t="e">
        <f>AND(#REF!,"AAAAAFvn9Qo=")</f>
        <v>#REF!</v>
      </c>
      <c r="L17" t="e">
        <f>AND(#REF!,"AAAAAFvn9Qs=")</f>
        <v>#REF!</v>
      </c>
      <c r="M17" t="e">
        <f>IF(#REF!,"AAAAAFvn9Qw=",0)</f>
        <v>#REF!</v>
      </c>
      <c r="N17" t="e">
        <f>AND(#REF!,"AAAAAFvn9Q0=")</f>
        <v>#REF!</v>
      </c>
      <c r="O17" t="e">
        <f>AND(#REF!,"AAAAAFvn9Q4=")</f>
        <v>#REF!</v>
      </c>
      <c r="P17" t="e">
        <f>AND(#REF!,"AAAAAFvn9Q8=")</f>
        <v>#REF!</v>
      </c>
      <c r="Q17" t="e">
        <f>AND(#REF!,"AAAAAFvn9RA=")</f>
        <v>#REF!</v>
      </c>
      <c r="R17" t="e">
        <f>AND(#REF!,"AAAAAFvn9RE=")</f>
        <v>#REF!</v>
      </c>
      <c r="S17" t="e">
        <f>AND(#REF!,"AAAAAFvn9RI=")</f>
        <v>#REF!</v>
      </c>
      <c r="T17" t="e">
        <f>AND(#REF!,"AAAAAFvn9RM=")</f>
        <v>#REF!</v>
      </c>
      <c r="U17" t="e">
        <f>AND(#REF!,"AAAAAFvn9RQ=")</f>
        <v>#REF!</v>
      </c>
      <c r="V17" t="e">
        <f>IF(#REF!,"AAAAAFvn9RU=",0)</f>
        <v>#REF!</v>
      </c>
      <c r="W17" t="e">
        <f>AND(#REF!,"AAAAAFvn9RY=")</f>
        <v>#REF!</v>
      </c>
      <c r="X17" t="e">
        <f>AND(#REF!,"AAAAAFvn9Rc=")</f>
        <v>#REF!</v>
      </c>
      <c r="Y17" t="e">
        <f>AND(#REF!,"AAAAAFvn9Rg=")</f>
        <v>#REF!</v>
      </c>
      <c r="Z17" t="e">
        <f>AND(#REF!,"AAAAAFvn9Rk=")</f>
        <v>#REF!</v>
      </c>
      <c r="AA17" t="e">
        <f>AND(#REF!,"AAAAAFvn9Ro=")</f>
        <v>#REF!</v>
      </c>
      <c r="AB17" t="e">
        <f>AND(#REF!,"AAAAAFvn9Rs=")</f>
        <v>#REF!</v>
      </c>
      <c r="AC17" t="e">
        <f>AND(#REF!,"AAAAAFvn9Rw=")</f>
        <v>#REF!</v>
      </c>
      <c r="AD17" t="e">
        <f>AND(#REF!,"AAAAAFvn9R0=")</f>
        <v>#REF!</v>
      </c>
      <c r="AE17" t="e">
        <f>IF(#REF!,"AAAAAFvn9R4=",0)</f>
        <v>#REF!</v>
      </c>
      <c r="AF17" t="e">
        <f>AND(#REF!,"AAAAAFvn9R8=")</f>
        <v>#REF!</v>
      </c>
      <c r="AG17" t="e">
        <f>AND(#REF!,"AAAAAFvn9SA=")</f>
        <v>#REF!</v>
      </c>
      <c r="AH17" t="e">
        <f>AND(#REF!,"AAAAAFvn9SE=")</f>
        <v>#REF!</v>
      </c>
      <c r="AI17" t="e">
        <f>AND(#REF!,"AAAAAFvn9SI=")</f>
        <v>#REF!</v>
      </c>
      <c r="AJ17" t="e">
        <f>AND(#REF!,"AAAAAFvn9SM=")</f>
        <v>#REF!</v>
      </c>
      <c r="AK17" t="e">
        <f>AND(#REF!,"AAAAAFvn9SQ=")</f>
        <v>#REF!</v>
      </c>
      <c r="AL17" t="e">
        <f>AND(#REF!,"AAAAAFvn9SU=")</f>
        <v>#REF!</v>
      </c>
      <c r="AM17" t="e">
        <f>AND(#REF!,"AAAAAFvn9SY=")</f>
        <v>#REF!</v>
      </c>
      <c r="AN17" t="e">
        <f>IF(#REF!,"AAAAAFvn9Sc=",0)</f>
        <v>#REF!</v>
      </c>
      <c r="AO17" t="e">
        <f>AND(#REF!,"AAAAAFvn9Sg=")</f>
        <v>#REF!</v>
      </c>
      <c r="AP17" t="e">
        <f>AND(#REF!,"AAAAAFvn9Sk=")</f>
        <v>#REF!</v>
      </c>
      <c r="AQ17" t="e">
        <f>AND(#REF!,"AAAAAFvn9So=")</f>
        <v>#REF!</v>
      </c>
      <c r="AR17" t="e">
        <f>AND(#REF!,"AAAAAFvn9Ss=")</f>
        <v>#REF!</v>
      </c>
      <c r="AS17" t="e">
        <f>AND(#REF!,"AAAAAFvn9Sw=")</f>
        <v>#REF!</v>
      </c>
      <c r="AT17" t="e">
        <f>AND(#REF!,"AAAAAFvn9S0=")</f>
        <v>#REF!</v>
      </c>
      <c r="AU17" t="e">
        <f>AND(#REF!,"AAAAAFvn9S4=")</f>
        <v>#REF!</v>
      </c>
      <c r="AV17" t="e">
        <f>AND(#REF!,"AAAAAFvn9S8=")</f>
        <v>#REF!</v>
      </c>
      <c r="AW17" t="e">
        <f>IF(#REF!,"AAAAAFvn9TA=",0)</f>
        <v>#REF!</v>
      </c>
      <c r="AX17" t="e">
        <f>AND(#REF!,"AAAAAFvn9TE=")</f>
        <v>#REF!</v>
      </c>
      <c r="AY17" t="e">
        <f>AND(#REF!,"AAAAAFvn9TI=")</f>
        <v>#REF!</v>
      </c>
      <c r="AZ17" t="e">
        <f>AND(#REF!,"AAAAAFvn9TM=")</f>
        <v>#REF!</v>
      </c>
      <c r="BA17" t="e">
        <f>AND(#REF!,"AAAAAFvn9TQ=")</f>
        <v>#REF!</v>
      </c>
      <c r="BB17" t="e">
        <f>AND(#REF!,"AAAAAFvn9TU=")</f>
        <v>#REF!</v>
      </c>
      <c r="BC17" t="e">
        <f>AND(#REF!,"AAAAAFvn9TY=")</f>
        <v>#REF!</v>
      </c>
      <c r="BD17" t="e">
        <f>AND(#REF!,"AAAAAFvn9Tc=")</f>
        <v>#REF!</v>
      </c>
      <c r="BE17" t="e">
        <f>AND(#REF!,"AAAAAFvn9Tg=")</f>
        <v>#REF!</v>
      </c>
      <c r="BF17" t="e">
        <f>IF(#REF!,"AAAAAFvn9Tk=",0)</f>
        <v>#REF!</v>
      </c>
      <c r="BG17" t="e">
        <f>AND(#REF!,"AAAAAFvn9To=")</f>
        <v>#REF!</v>
      </c>
      <c r="BH17" t="e">
        <f>AND(#REF!,"AAAAAFvn9Ts=")</f>
        <v>#REF!</v>
      </c>
      <c r="BI17" t="e">
        <f>AND(#REF!,"AAAAAFvn9Tw=")</f>
        <v>#REF!</v>
      </c>
      <c r="BJ17" t="e">
        <f>AND(#REF!,"AAAAAFvn9T0=")</f>
        <v>#REF!</v>
      </c>
      <c r="BK17" t="e">
        <f>AND(#REF!,"AAAAAFvn9T4=")</f>
        <v>#REF!</v>
      </c>
      <c r="BL17" t="e">
        <f>AND(#REF!,"AAAAAFvn9T8=")</f>
        <v>#REF!</v>
      </c>
      <c r="BM17" t="e">
        <f>AND(#REF!,"AAAAAFvn9UA=")</f>
        <v>#REF!</v>
      </c>
      <c r="BN17" t="e">
        <f>AND(#REF!,"AAAAAFvn9UE=")</f>
        <v>#REF!</v>
      </c>
      <c r="BO17" t="e">
        <f>IF(#REF!,"AAAAAFvn9UI=",0)</f>
        <v>#REF!</v>
      </c>
      <c r="BP17" t="e">
        <f>AND(#REF!,"AAAAAFvn9UM=")</f>
        <v>#REF!</v>
      </c>
      <c r="BQ17" t="e">
        <f>AND(#REF!,"AAAAAFvn9UQ=")</f>
        <v>#REF!</v>
      </c>
      <c r="BR17" t="e">
        <f>AND(#REF!,"AAAAAFvn9UU=")</f>
        <v>#REF!</v>
      </c>
      <c r="BS17" t="e">
        <f>AND(#REF!,"AAAAAFvn9UY=")</f>
        <v>#REF!</v>
      </c>
      <c r="BT17" t="e">
        <f>AND(#REF!,"AAAAAFvn9Uc=")</f>
        <v>#REF!</v>
      </c>
      <c r="BU17" t="e">
        <f>AND(#REF!,"AAAAAFvn9Ug=")</f>
        <v>#REF!</v>
      </c>
      <c r="BV17" t="e">
        <f>AND(#REF!,"AAAAAFvn9Uk=")</f>
        <v>#REF!</v>
      </c>
      <c r="BW17" t="e">
        <f>AND(#REF!,"AAAAAFvn9Uo=")</f>
        <v>#REF!</v>
      </c>
      <c r="BX17" t="e">
        <f>IF(#REF!,"AAAAAFvn9Us=",0)</f>
        <v>#REF!</v>
      </c>
      <c r="BY17" t="e">
        <f>AND(#REF!,"AAAAAFvn9Uw=")</f>
        <v>#REF!</v>
      </c>
      <c r="BZ17" t="e">
        <f>AND(#REF!,"AAAAAFvn9U0=")</f>
        <v>#REF!</v>
      </c>
      <c r="CA17" t="e">
        <f>AND(#REF!,"AAAAAFvn9U4=")</f>
        <v>#REF!</v>
      </c>
      <c r="CB17" t="e">
        <f>AND(#REF!,"AAAAAFvn9U8=")</f>
        <v>#REF!</v>
      </c>
      <c r="CC17" t="e">
        <f>AND(#REF!,"AAAAAFvn9VA=")</f>
        <v>#REF!</v>
      </c>
      <c r="CD17" t="e">
        <f>AND(#REF!,"AAAAAFvn9VE=")</f>
        <v>#REF!</v>
      </c>
      <c r="CE17" t="e">
        <f>AND(#REF!,"AAAAAFvn9VI=")</f>
        <v>#REF!</v>
      </c>
      <c r="CF17" t="e">
        <f>AND(#REF!,"AAAAAFvn9VM=")</f>
        <v>#REF!</v>
      </c>
      <c r="CG17" t="e">
        <f>IF(#REF!,"AAAAAFvn9VQ=",0)</f>
        <v>#REF!</v>
      </c>
      <c r="CH17" t="e">
        <f>AND(#REF!,"AAAAAFvn9VU=")</f>
        <v>#REF!</v>
      </c>
      <c r="CI17" t="e">
        <f>AND(#REF!,"AAAAAFvn9VY=")</f>
        <v>#REF!</v>
      </c>
      <c r="CJ17" t="e">
        <f>AND(#REF!,"AAAAAFvn9Vc=")</f>
        <v>#REF!</v>
      </c>
      <c r="CK17" t="e">
        <f>AND(#REF!,"AAAAAFvn9Vg=")</f>
        <v>#REF!</v>
      </c>
      <c r="CL17" t="e">
        <f>AND(#REF!,"AAAAAFvn9Vk=")</f>
        <v>#REF!</v>
      </c>
      <c r="CM17" t="e">
        <f>AND(#REF!,"AAAAAFvn9Vo=")</f>
        <v>#REF!</v>
      </c>
      <c r="CN17" t="e">
        <f>AND(#REF!,"AAAAAFvn9Vs=")</f>
        <v>#REF!</v>
      </c>
      <c r="CO17" t="e">
        <f>AND(#REF!,"AAAAAFvn9Vw=")</f>
        <v>#REF!</v>
      </c>
      <c r="CP17" t="e">
        <f>IF(#REF!,"AAAAAFvn9V0=",0)</f>
        <v>#REF!</v>
      </c>
      <c r="CQ17" t="e">
        <f>AND(#REF!,"AAAAAFvn9V4=")</f>
        <v>#REF!</v>
      </c>
      <c r="CR17" t="e">
        <f>AND(#REF!,"AAAAAFvn9V8=")</f>
        <v>#REF!</v>
      </c>
      <c r="CS17" t="e">
        <f>AND(#REF!,"AAAAAFvn9WA=")</f>
        <v>#REF!</v>
      </c>
      <c r="CT17" t="e">
        <f>AND(#REF!,"AAAAAFvn9WE=")</f>
        <v>#REF!</v>
      </c>
      <c r="CU17" t="e">
        <f>AND(#REF!,"AAAAAFvn9WI=")</f>
        <v>#REF!</v>
      </c>
      <c r="CV17" t="e">
        <f>AND(#REF!,"AAAAAFvn9WM=")</f>
        <v>#REF!</v>
      </c>
      <c r="CW17" t="e">
        <f>AND(#REF!,"AAAAAFvn9WQ=")</f>
        <v>#REF!</v>
      </c>
      <c r="CX17" t="e">
        <f>AND(#REF!,"AAAAAFvn9WU=")</f>
        <v>#REF!</v>
      </c>
      <c r="CY17" t="e">
        <f>IF(#REF!,"AAAAAFvn9WY=",0)</f>
        <v>#REF!</v>
      </c>
      <c r="CZ17" t="e">
        <f>AND(#REF!,"AAAAAFvn9Wc=")</f>
        <v>#REF!</v>
      </c>
      <c r="DA17" t="e">
        <f>AND(#REF!,"AAAAAFvn9Wg=")</f>
        <v>#REF!</v>
      </c>
      <c r="DB17" t="e">
        <f>AND(#REF!,"AAAAAFvn9Wk=")</f>
        <v>#REF!</v>
      </c>
      <c r="DC17" t="e">
        <f>AND(#REF!,"AAAAAFvn9Wo=")</f>
        <v>#REF!</v>
      </c>
      <c r="DD17" t="e">
        <f>AND(#REF!,"AAAAAFvn9Ws=")</f>
        <v>#REF!</v>
      </c>
      <c r="DE17" t="e">
        <f>AND(#REF!,"AAAAAFvn9Ww=")</f>
        <v>#REF!</v>
      </c>
      <c r="DF17" t="e">
        <f>AND(#REF!,"AAAAAFvn9W0=")</f>
        <v>#REF!</v>
      </c>
      <c r="DG17" t="e">
        <f>AND(#REF!,"AAAAAFvn9W4=")</f>
        <v>#REF!</v>
      </c>
      <c r="DH17" t="e">
        <f>IF(#REF!,"AAAAAFvn9W8=",0)</f>
        <v>#REF!</v>
      </c>
      <c r="DI17" t="e">
        <f>AND(#REF!,"AAAAAFvn9XA=")</f>
        <v>#REF!</v>
      </c>
      <c r="DJ17" t="e">
        <f>AND(#REF!,"AAAAAFvn9XE=")</f>
        <v>#REF!</v>
      </c>
      <c r="DK17" t="e">
        <f>AND(#REF!,"AAAAAFvn9XI=")</f>
        <v>#REF!</v>
      </c>
      <c r="DL17" t="e">
        <f>AND(#REF!,"AAAAAFvn9XM=")</f>
        <v>#REF!</v>
      </c>
      <c r="DM17" t="e">
        <f>AND(#REF!,"AAAAAFvn9XQ=")</f>
        <v>#REF!</v>
      </c>
      <c r="DN17" t="e">
        <f>AND(#REF!,"AAAAAFvn9XU=")</f>
        <v>#REF!</v>
      </c>
      <c r="DO17" t="e">
        <f>AND(#REF!,"AAAAAFvn9XY=")</f>
        <v>#REF!</v>
      </c>
      <c r="DP17" t="e">
        <f>AND(#REF!,"AAAAAFvn9Xc=")</f>
        <v>#REF!</v>
      </c>
      <c r="DQ17" t="e">
        <f>IF(#REF!,"AAAAAFvn9Xg=",0)</f>
        <v>#REF!</v>
      </c>
      <c r="DR17" t="e">
        <f>AND(#REF!,"AAAAAFvn9Xk=")</f>
        <v>#REF!</v>
      </c>
      <c r="DS17" t="e">
        <f>AND(#REF!,"AAAAAFvn9Xo=")</f>
        <v>#REF!</v>
      </c>
      <c r="DT17" t="e">
        <f>AND(#REF!,"AAAAAFvn9Xs=")</f>
        <v>#REF!</v>
      </c>
      <c r="DU17" t="e">
        <f>AND(#REF!,"AAAAAFvn9Xw=")</f>
        <v>#REF!</v>
      </c>
      <c r="DV17" t="e">
        <f>AND(#REF!,"AAAAAFvn9X0=")</f>
        <v>#REF!</v>
      </c>
      <c r="DW17" t="e">
        <f>AND(#REF!,"AAAAAFvn9X4=")</f>
        <v>#REF!</v>
      </c>
      <c r="DX17" t="e">
        <f>AND(#REF!,"AAAAAFvn9X8=")</f>
        <v>#REF!</v>
      </c>
      <c r="DY17" t="e">
        <f>AND(#REF!,"AAAAAFvn9YA=")</f>
        <v>#REF!</v>
      </c>
      <c r="DZ17" t="e">
        <f>IF(#REF!,"AAAAAFvn9YE=",0)</f>
        <v>#REF!</v>
      </c>
      <c r="EA17" t="e">
        <f>AND(#REF!,"AAAAAFvn9YI=")</f>
        <v>#REF!</v>
      </c>
      <c r="EB17" t="e">
        <f>AND(#REF!,"AAAAAFvn9YM=")</f>
        <v>#REF!</v>
      </c>
      <c r="EC17" t="e">
        <f>AND(#REF!,"AAAAAFvn9YQ=")</f>
        <v>#REF!</v>
      </c>
      <c r="ED17" t="e">
        <f>AND(#REF!,"AAAAAFvn9YU=")</f>
        <v>#REF!</v>
      </c>
      <c r="EE17" t="e">
        <f>AND(#REF!,"AAAAAFvn9YY=")</f>
        <v>#REF!</v>
      </c>
      <c r="EF17" t="e">
        <f>AND(#REF!,"AAAAAFvn9Yc=")</f>
        <v>#REF!</v>
      </c>
      <c r="EG17" t="e">
        <f>AND(#REF!,"AAAAAFvn9Yg=")</f>
        <v>#REF!</v>
      </c>
      <c r="EH17" t="e">
        <f>AND(#REF!,"AAAAAFvn9Yk=")</f>
        <v>#REF!</v>
      </c>
      <c r="EI17" t="e">
        <f>IF(#REF!,"AAAAAFvn9Yo=",0)</f>
        <v>#REF!</v>
      </c>
      <c r="EJ17" t="e">
        <f>AND(#REF!,"AAAAAFvn9Ys=")</f>
        <v>#REF!</v>
      </c>
      <c r="EK17" t="e">
        <f>AND(#REF!,"AAAAAFvn9Yw=")</f>
        <v>#REF!</v>
      </c>
      <c r="EL17" t="e">
        <f>AND(#REF!,"AAAAAFvn9Y0=")</f>
        <v>#REF!</v>
      </c>
      <c r="EM17" t="e">
        <f>AND(#REF!,"AAAAAFvn9Y4=")</f>
        <v>#REF!</v>
      </c>
      <c r="EN17" t="e">
        <f>AND(#REF!,"AAAAAFvn9Y8=")</f>
        <v>#REF!</v>
      </c>
      <c r="EO17" t="e">
        <f>AND(#REF!,"AAAAAFvn9ZA=")</f>
        <v>#REF!</v>
      </c>
      <c r="EP17" t="e">
        <f>AND(#REF!,"AAAAAFvn9ZE=")</f>
        <v>#REF!</v>
      </c>
      <c r="EQ17" t="e">
        <f>AND(#REF!,"AAAAAFvn9ZI=")</f>
        <v>#REF!</v>
      </c>
      <c r="ER17" t="e">
        <f>IF(#REF!,"AAAAAFvn9ZM=",0)</f>
        <v>#REF!</v>
      </c>
      <c r="ES17" t="e">
        <f>AND(#REF!,"AAAAAFvn9ZQ=")</f>
        <v>#REF!</v>
      </c>
      <c r="ET17" t="e">
        <f>AND(#REF!,"AAAAAFvn9ZU=")</f>
        <v>#REF!</v>
      </c>
      <c r="EU17" t="e">
        <f>AND(#REF!,"AAAAAFvn9ZY=")</f>
        <v>#REF!</v>
      </c>
      <c r="EV17" t="e">
        <f>AND(#REF!,"AAAAAFvn9Zc=")</f>
        <v>#REF!</v>
      </c>
      <c r="EW17" t="e">
        <f>AND(#REF!,"AAAAAFvn9Zg=")</f>
        <v>#REF!</v>
      </c>
      <c r="EX17" t="e">
        <f>AND(#REF!,"AAAAAFvn9Zk=")</f>
        <v>#REF!</v>
      </c>
      <c r="EY17" t="e">
        <f>AND(#REF!,"AAAAAFvn9Zo=")</f>
        <v>#REF!</v>
      </c>
      <c r="EZ17" t="e">
        <f>AND(#REF!,"AAAAAFvn9Zs=")</f>
        <v>#REF!</v>
      </c>
      <c r="FA17" t="e">
        <f>IF(#REF!,"AAAAAFvn9Zw=",0)</f>
        <v>#REF!</v>
      </c>
      <c r="FB17" t="e">
        <f>AND(#REF!,"AAAAAFvn9Z0=")</f>
        <v>#REF!</v>
      </c>
      <c r="FC17" t="e">
        <f>AND(#REF!,"AAAAAFvn9Z4=")</f>
        <v>#REF!</v>
      </c>
      <c r="FD17" t="e">
        <f>AND(#REF!,"AAAAAFvn9Z8=")</f>
        <v>#REF!</v>
      </c>
      <c r="FE17" t="e">
        <f>AND(#REF!,"AAAAAFvn9aA=")</f>
        <v>#REF!</v>
      </c>
      <c r="FF17" t="e">
        <f>AND(#REF!,"AAAAAFvn9aE=")</f>
        <v>#REF!</v>
      </c>
      <c r="FG17" t="e">
        <f>AND(#REF!,"AAAAAFvn9aI=")</f>
        <v>#REF!</v>
      </c>
      <c r="FH17" t="e">
        <f>AND(#REF!,"AAAAAFvn9aM=")</f>
        <v>#REF!</v>
      </c>
      <c r="FI17" t="e">
        <f>AND(#REF!,"AAAAAFvn9aQ=")</f>
        <v>#REF!</v>
      </c>
      <c r="FJ17" t="e">
        <f>IF(#REF!,"AAAAAFvn9aU=",0)</f>
        <v>#REF!</v>
      </c>
      <c r="FK17" t="e">
        <f>AND(#REF!,"AAAAAFvn9aY=")</f>
        <v>#REF!</v>
      </c>
      <c r="FL17" t="e">
        <f>AND(#REF!,"AAAAAFvn9ac=")</f>
        <v>#REF!</v>
      </c>
      <c r="FM17" t="e">
        <f>AND(#REF!,"AAAAAFvn9ag=")</f>
        <v>#REF!</v>
      </c>
      <c r="FN17" t="e">
        <f>AND(#REF!,"AAAAAFvn9ak=")</f>
        <v>#REF!</v>
      </c>
      <c r="FO17" t="e">
        <f>AND(#REF!,"AAAAAFvn9ao=")</f>
        <v>#REF!</v>
      </c>
      <c r="FP17" t="e">
        <f>AND(#REF!,"AAAAAFvn9as=")</f>
        <v>#REF!</v>
      </c>
      <c r="FQ17" t="e">
        <f>AND(#REF!,"AAAAAFvn9aw=")</f>
        <v>#REF!</v>
      </c>
      <c r="FR17" t="e">
        <f>AND(#REF!,"AAAAAFvn9a0=")</f>
        <v>#REF!</v>
      </c>
      <c r="FS17" t="e">
        <f>IF(#REF!,"AAAAAFvn9a4=",0)</f>
        <v>#REF!</v>
      </c>
      <c r="FT17" t="e">
        <f>AND(#REF!,"AAAAAFvn9a8=")</f>
        <v>#REF!</v>
      </c>
      <c r="FU17" t="e">
        <f>AND(#REF!,"AAAAAFvn9bA=")</f>
        <v>#REF!</v>
      </c>
      <c r="FV17" t="e">
        <f>AND(#REF!,"AAAAAFvn9bE=")</f>
        <v>#REF!</v>
      </c>
      <c r="FW17" t="e">
        <f>AND(#REF!,"AAAAAFvn9bI=")</f>
        <v>#REF!</v>
      </c>
      <c r="FX17" t="e">
        <f>AND(#REF!,"AAAAAFvn9bM=")</f>
        <v>#REF!</v>
      </c>
      <c r="FY17" t="e">
        <f>AND(#REF!,"AAAAAFvn9bQ=")</f>
        <v>#REF!</v>
      </c>
      <c r="FZ17" t="e">
        <f>AND(#REF!,"AAAAAFvn9bU=")</f>
        <v>#REF!</v>
      </c>
      <c r="GA17" t="e">
        <f>AND(#REF!,"AAAAAFvn9bY=")</f>
        <v>#REF!</v>
      </c>
      <c r="GB17" t="e">
        <f>IF(#REF!,"AAAAAFvn9bc=",0)</f>
        <v>#REF!</v>
      </c>
      <c r="GC17" t="e">
        <f>AND(#REF!,"AAAAAFvn9bg=")</f>
        <v>#REF!</v>
      </c>
      <c r="GD17" t="e">
        <f>AND(#REF!,"AAAAAFvn9bk=")</f>
        <v>#REF!</v>
      </c>
      <c r="GE17" t="e">
        <f>AND(#REF!,"AAAAAFvn9bo=")</f>
        <v>#REF!</v>
      </c>
      <c r="GF17" t="e">
        <f>AND(#REF!,"AAAAAFvn9bs=")</f>
        <v>#REF!</v>
      </c>
      <c r="GG17" t="e">
        <f>AND(#REF!,"AAAAAFvn9bw=")</f>
        <v>#REF!</v>
      </c>
      <c r="GH17" t="e">
        <f>AND(#REF!,"AAAAAFvn9b0=")</f>
        <v>#REF!</v>
      </c>
      <c r="GI17" t="e">
        <f>AND(#REF!,"AAAAAFvn9b4=")</f>
        <v>#REF!</v>
      </c>
      <c r="GJ17" t="e">
        <f>AND(#REF!,"AAAAAFvn9b8=")</f>
        <v>#REF!</v>
      </c>
      <c r="GK17" t="e">
        <f>IF(#REF!,"AAAAAFvn9cA=",0)</f>
        <v>#REF!</v>
      </c>
      <c r="GL17" t="e">
        <f>IF(#REF!,"AAAAAFvn9cE=",0)</f>
        <v>#REF!</v>
      </c>
      <c r="GM17" t="e">
        <f>IF(#REF!,"AAAAAFvn9cI=",0)</f>
        <v>#REF!</v>
      </c>
      <c r="GN17" t="e">
        <f>IF(#REF!,"AAAAAFvn9cM=",0)</f>
        <v>#REF!</v>
      </c>
      <c r="GO17" t="e">
        <f>IF(#REF!,"AAAAAFvn9cQ=",0)</f>
        <v>#REF!</v>
      </c>
      <c r="GP17" t="e">
        <f>IF(#REF!,"AAAAAFvn9cU=",0)</f>
        <v>#REF!</v>
      </c>
      <c r="GQ17" t="e">
        <f>IF(#REF!,"AAAAAFvn9cY=",0)</f>
        <v>#REF!</v>
      </c>
      <c r="GR17" t="e">
        <f>IF(#REF!,"AAAAAFvn9cc=",0)</f>
        <v>#REF!</v>
      </c>
      <c r="GS17" t="e">
        <f>IF(#REF!,"AAAAAFvn9cg=",0)</f>
        <v>#REF!</v>
      </c>
      <c r="GT17" t="e">
        <f>IF(#REF!,"AAAAAFvn9ck=",0)</f>
        <v>#REF!</v>
      </c>
      <c r="GU17" t="e">
        <f>IF(#REF!,"AAAAAFvn9co=",0)</f>
        <v>#REF!</v>
      </c>
      <c r="GV17" t="e">
        <f>IF(#REF!,"AAAAAFvn9cs=",0)</f>
        <v>#REF!</v>
      </c>
      <c r="GW17" t="e">
        <f>IF(#REF!,"AAAAAFvn9cw=",0)</f>
        <v>#REF!</v>
      </c>
      <c r="GX17" t="e">
        <f>IF(#REF!,"AAAAAFvn9c0=",0)</f>
        <v>#REF!</v>
      </c>
      <c r="GY17" t="e">
        <f>AND(#REF!,"AAAAAFvn9c4=")</f>
        <v>#REF!</v>
      </c>
      <c r="GZ17" t="e">
        <f>AND(#REF!,"AAAAAFvn9c8=")</f>
        <v>#REF!</v>
      </c>
      <c r="HA17" t="e">
        <f>AND(#REF!,"AAAAAFvn9dA=")</f>
        <v>#REF!</v>
      </c>
      <c r="HB17" t="e">
        <f>AND(#REF!,"AAAAAFvn9dE=")</f>
        <v>#REF!</v>
      </c>
      <c r="HC17" t="e">
        <f>AND(#REF!,"AAAAAFvn9dI=")</f>
        <v>#REF!</v>
      </c>
      <c r="HD17" t="e">
        <f>AND(#REF!,"AAAAAFvn9dM=")</f>
        <v>#REF!</v>
      </c>
      <c r="HE17" t="e">
        <f>AND(#REF!,"AAAAAFvn9dQ=")</f>
        <v>#REF!</v>
      </c>
      <c r="HF17" t="e">
        <f>AND(#REF!,"AAAAAFvn9dU=")</f>
        <v>#REF!</v>
      </c>
      <c r="HG17" t="e">
        <f>AND(#REF!,"AAAAAFvn9dY=")</f>
        <v>#REF!</v>
      </c>
      <c r="HH17" t="e">
        <f>AND(#REF!,"AAAAAFvn9dc=")</f>
        <v>#REF!</v>
      </c>
      <c r="HI17" t="e">
        <f>AND(#REF!,"AAAAAFvn9dg=")</f>
        <v>#REF!</v>
      </c>
      <c r="HJ17" t="e">
        <f>AND(#REF!,"AAAAAFvn9dk=")</f>
        <v>#REF!</v>
      </c>
      <c r="HK17" t="e">
        <f>AND(#REF!,"AAAAAFvn9do=")</f>
        <v>#REF!</v>
      </c>
      <c r="HL17" t="e">
        <f>IF(#REF!,"AAAAAFvn9ds=",0)</f>
        <v>#REF!</v>
      </c>
      <c r="HM17" t="e">
        <f>AND(#REF!,"AAAAAFvn9dw=")</f>
        <v>#REF!</v>
      </c>
      <c r="HN17" t="e">
        <f>AND(#REF!,"AAAAAFvn9d0=")</f>
        <v>#REF!</v>
      </c>
      <c r="HO17" t="e">
        <f>AND(#REF!,"AAAAAFvn9d4=")</f>
        <v>#REF!</v>
      </c>
      <c r="HP17" t="e">
        <f>AND(#REF!,"AAAAAFvn9d8=")</f>
        <v>#REF!</v>
      </c>
      <c r="HQ17" t="e">
        <f>AND(#REF!,"AAAAAFvn9eA=")</f>
        <v>#REF!</v>
      </c>
      <c r="HR17" t="e">
        <f>AND(#REF!,"AAAAAFvn9eE=")</f>
        <v>#REF!</v>
      </c>
      <c r="HS17" t="e">
        <f>AND(#REF!,"AAAAAFvn9eI=")</f>
        <v>#REF!</v>
      </c>
      <c r="HT17" t="e">
        <f>AND(#REF!,"AAAAAFvn9eM=")</f>
        <v>#REF!</v>
      </c>
      <c r="HU17" t="e">
        <f>AND(#REF!,"AAAAAFvn9eQ=")</f>
        <v>#REF!</v>
      </c>
      <c r="HV17" t="e">
        <f>AND(#REF!,"AAAAAFvn9eU=")</f>
        <v>#REF!</v>
      </c>
      <c r="HW17" t="e">
        <f>AND(#REF!,"AAAAAFvn9eY=")</f>
        <v>#REF!</v>
      </c>
      <c r="HX17" t="e">
        <f>AND(#REF!,"AAAAAFvn9ec=")</f>
        <v>#REF!</v>
      </c>
      <c r="HY17" t="e">
        <f>AND(#REF!,"AAAAAFvn9eg=")</f>
        <v>#REF!</v>
      </c>
      <c r="HZ17" t="e">
        <f>IF(#REF!,"AAAAAFvn9ek=",0)</f>
        <v>#REF!</v>
      </c>
      <c r="IA17" t="e">
        <f>AND(#REF!,"AAAAAFvn9eo=")</f>
        <v>#REF!</v>
      </c>
      <c r="IB17" t="e">
        <f>AND(#REF!,"AAAAAFvn9es=")</f>
        <v>#REF!</v>
      </c>
      <c r="IC17" t="e">
        <f>AND(#REF!,"AAAAAFvn9ew=")</f>
        <v>#REF!</v>
      </c>
      <c r="ID17" t="e">
        <f>AND(#REF!,"AAAAAFvn9e0=")</f>
        <v>#REF!</v>
      </c>
      <c r="IE17" t="e">
        <f>AND(#REF!,"AAAAAFvn9e4=")</f>
        <v>#REF!</v>
      </c>
      <c r="IF17" t="e">
        <f>AND(#REF!,"AAAAAFvn9e8=")</f>
        <v>#REF!</v>
      </c>
      <c r="IG17" t="e">
        <f>AND(#REF!,"AAAAAFvn9fA=")</f>
        <v>#REF!</v>
      </c>
      <c r="IH17" t="e">
        <f>AND(#REF!,"AAAAAFvn9fE=")</f>
        <v>#REF!</v>
      </c>
      <c r="II17" t="e">
        <f>AND(#REF!,"AAAAAFvn9fI=")</f>
        <v>#REF!</v>
      </c>
      <c r="IJ17" t="e">
        <f>AND(#REF!,"AAAAAFvn9fM=")</f>
        <v>#REF!</v>
      </c>
      <c r="IK17" t="e">
        <f>AND(#REF!,"AAAAAFvn9fQ=")</f>
        <v>#REF!</v>
      </c>
      <c r="IL17" t="e">
        <f>AND(#REF!,"AAAAAFvn9fU=")</f>
        <v>#REF!</v>
      </c>
      <c r="IM17" t="e">
        <f>AND(#REF!,"AAAAAFvn9fY=")</f>
        <v>#REF!</v>
      </c>
      <c r="IN17" t="e">
        <f>IF(#REF!,"AAAAAFvn9fc=",0)</f>
        <v>#REF!</v>
      </c>
      <c r="IO17" t="e">
        <f>AND(#REF!,"AAAAAFvn9fg=")</f>
        <v>#REF!</v>
      </c>
      <c r="IP17" t="e">
        <f>AND(#REF!,"AAAAAFvn9fk=")</f>
        <v>#REF!</v>
      </c>
      <c r="IQ17" t="e">
        <f>AND(#REF!,"AAAAAFvn9fo=")</f>
        <v>#REF!</v>
      </c>
      <c r="IR17" t="e">
        <f>AND(#REF!,"AAAAAFvn9fs=")</f>
        <v>#REF!</v>
      </c>
      <c r="IS17" t="e">
        <f>AND(#REF!,"AAAAAFvn9fw=")</f>
        <v>#REF!</v>
      </c>
      <c r="IT17" t="e">
        <f>AND(#REF!,"AAAAAFvn9f0=")</f>
        <v>#REF!</v>
      </c>
      <c r="IU17" t="e">
        <f>AND(#REF!,"AAAAAFvn9f4=")</f>
        <v>#REF!</v>
      </c>
      <c r="IV17" t="e">
        <f>AND(#REF!,"AAAAAFvn9f8=")</f>
        <v>#REF!</v>
      </c>
    </row>
    <row r="18" spans="1:256" x14ac:dyDescent="0.35">
      <c r="A18" t="e">
        <f>AND(#REF!,"AAAAAD1dggA=")</f>
        <v>#REF!</v>
      </c>
      <c r="B18" t="e">
        <f>AND(#REF!,"AAAAAD1dggE=")</f>
        <v>#REF!</v>
      </c>
      <c r="C18" t="e">
        <f>AND(#REF!,"AAAAAD1dggI=")</f>
        <v>#REF!</v>
      </c>
      <c r="D18" t="e">
        <f>AND(#REF!,"AAAAAD1dggM=")</f>
        <v>#REF!</v>
      </c>
      <c r="E18" t="e">
        <f>AND(#REF!,"AAAAAD1dggQ=")</f>
        <v>#REF!</v>
      </c>
      <c r="F18" t="e">
        <f>IF(#REF!,"AAAAAD1dggU=",0)</f>
        <v>#REF!</v>
      </c>
      <c r="G18" t="e">
        <f>AND(#REF!,"AAAAAD1dggY=")</f>
        <v>#REF!</v>
      </c>
      <c r="H18" t="e">
        <f>AND(#REF!,"AAAAAD1dggc=")</f>
        <v>#REF!</v>
      </c>
      <c r="I18" t="e">
        <f>AND(#REF!,"AAAAAD1dggg=")</f>
        <v>#REF!</v>
      </c>
      <c r="J18" t="e">
        <f>AND(#REF!,"AAAAAD1dggk=")</f>
        <v>#REF!</v>
      </c>
      <c r="K18" t="e">
        <f>AND(#REF!,"AAAAAD1dggo=")</f>
        <v>#REF!</v>
      </c>
      <c r="L18" t="e">
        <f>AND(#REF!,"AAAAAD1dggs=")</f>
        <v>#REF!</v>
      </c>
      <c r="M18" t="e">
        <f>AND(#REF!,"AAAAAD1dggw=")</f>
        <v>#REF!</v>
      </c>
      <c r="N18" t="e">
        <f>AND(#REF!,"AAAAAD1dgg0=")</f>
        <v>#REF!</v>
      </c>
      <c r="O18" t="e">
        <f>AND(#REF!,"AAAAAD1dgg4=")</f>
        <v>#REF!</v>
      </c>
      <c r="P18" t="e">
        <f>AND(#REF!,"AAAAAD1dgg8=")</f>
        <v>#REF!</v>
      </c>
      <c r="Q18" t="e">
        <f>AND(#REF!,"AAAAAD1dghA=")</f>
        <v>#REF!</v>
      </c>
      <c r="R18" t="e">
        <f>AND(#REF!,"AAAAAD1dghE=")</f>
        <v>#REF!</v>
      </c>
      <c r="S18" t="e">
        <f>AND(#REF!,"AAAAAD1dghI=")</f>
        <v>#REF!</v>
      </c>
      <c r="T18" t="e">
        <f>IF(#REF!,"AAAAAD1dghM=",0)</f>
        <v>#REF!</v>
      </c>
      <c r="U18" t="e">
        <f>AND(#REF!,"AAAAAD1dghQ=")</f>
        <v>#REF!</v>
      </c>
      <c r="V18" t="e">
        <f>AND(#REF!,"AAAAAD1dghU=")</f>
        <v>#REF!</v>
      </c>
      <c r="W18" t="e">
        <f>AND(#REF!,"AAAAAD1dghY=")</f>
        <v>#REF!</v>
      </c>
      <c r="X18" t="e">
        <f>AND(#REF!,"AAAAAD1dghc=")</f>
        <v>#REF!</v>
      </c>
      <c r="Y18" t="e">
        <f>AND(#REF!,"AAAAAD1dghg=")</f>
        <v>#REF!</v>
      </c>
      <c r="Z18" t="e">
        <f>AND(#REF!,"AAAAAD1dghk=")</f>
        <v>#REF!</v>
      </c>
      <c r="AA18" t="e">
        <f>AND(#REF!,"AAAAAD1dgho=")</f>
        <v>#REF!</v>
      </c>
      <c r="AB18" t="e">
        <f>AND(#REF!,"AAAAAD1dghs=")</f>
        <v>#REF!</v>
      </c>
      <c r="AC18" t="e">
        <f>AND(#REF!,"AAAAAD1dghw=")</f>
        <v>#REF!</v>
      </c>
      <c r="AD18" t="e">
        <f>AND(#REF!,"AAAAAD1dgh0=")</f>
        <v>#REF!</v>
      </c>
      <c r="AE18" t="e">
        <f>AND(#REF!,"AAAAAD1dgh4=")</f>
        <v>#REF!</v>
      </c>
      <c r="AF18" t="e">
        <f>AND(#REF!,"AAAAAD1dgh8=")</f>
        <v>#REF!</v>
      </c>
      <c r="AG18" t="e">
        <f>AND(#REF!,"AAAAAD1dgiA=")</f>
        <v>#REF!</v>
      </c>
      <c r="AH18" t="e">
        <f>IF(#REF!,"AAAAAD1dgiE=",0)</f>
        <v>#REF!</v>
      </c>
      <c r="AI18" t="e">
        <f>AND(#REF!,"AAAAAD1dgiI=")</f>
        <v>#REF!</v>
      </c>
      <c r="AJ18" t="e">
        <f>AND(#REF!,"AAAAAD1dgiM=")</f>
        <v>#REF!</v>
      </c>
      <c r="AK18" t="e">
        <f>AND(#REF!,"AAAAAD1dgiQ=")</f>
        <v>#REF!</v>
      </c>
      <c r="AL18" t="e">
        <f>AND(#REF!,"AAAAAD1dgiU=")</f>
        <v>#REF!</v>
      </c>
      <c r="AM18" t="e">
        <f>AND(#REF!,"AAAAAD1dgiY=")</f>
        <v>#REF!</v>
      </c>
      <c r="AN18" t="e">
        <f>AND(#REF!,"AAAAAD1dgic=")</f>
        <v>#REF!</v>
      </c>
      <c r="AO18" t="e">
        <f>AND(#REF!,"AAAAAD1dgig=")</f>
        <v>#REF!</v>
      </c>
      <c r="AP18" t="e">
        <f>AND(#REF!,"AAAAAD1dgik=")</f>
        <v>#REF!</v>
      </c>
      <c r="AQ18" t="e">
        <f>AND(#REF!,"AAAAAD1dgio=")</f>
        <v>#REF!</v>
      </c>
      <c r="AR18" t="e">
        <f>AND(#REF!,"AAAAAD1dgis=")</f>
        <v>#REF!</v>
      </c>
      <c r="AS18" t="e">
        <f>AND(#REF!,"AAAAAD1dgiw=")</f>
        <v>#REF!</v>
      </c>
      <c r="AT18" t="e">
        <f>AND(#REF!,"AAAAAD1dgi0=")</f>
        <v>#REF!</v>
      </c>
      <c r="AU18" t="e">
        <f>AND(#REF!,"AAAAAD1dgi4=")</f>
        <v>#REF!</v>
      </c>
      <c r="AV18" t="e">
        <f>IF(#REF!,"AAAAAD1dgi8=",0)</f>
        <v>#REF!</v>
      </c>
      <c r="AW18" t="e">
        <f>AND(#REF!,"AAAAAD1dgjA=")</f>
        <v>#REF!</v>
      </c>
      <c r="AX18" t="e">
        <f>AND(#REF!,"AAAAAD1dgjE=")</f>
        <v>#REF!</v>
      </c>
      <c r="AY18" t="e">
        <f>AND(#REF!,"AAAAAD1dgjI=")</f>
        <v>#REF!</v>
      </c>
      <c r="AZ18" t="e">
        <f>AND(#REF!,"AAAAAD1dgjM=")</f>
        <v>#REF!</v>
      </c>
      <c r="BA18" t="e">
        <f>AND(#REF!,"AAAAAD1dgjQ=")</f>
        <v>#REF!</v>
      </c>
      <c r="BB18" t="e">
        <f>AND(#REF!,"AAAAAD1dgjU=")</f>
        <v>#REF!</v>
      </c>
      <c r="BC18" t="e">
        <f>AND(#REF!,"AAAAAD1dgjY=")</f>
        <v>#REF!</v>
      </c>
      <c r="BD18" t="e">
        <f>AND(#REF!,"AAAAAD1dgjc=")</f>
        <v>#REF!</v>
      </c>
      <c r="BE18" t="e">
        <f>AND(#REF!,"AAAAAD1dgjg=")</f>
        <v>#REF!</v>
      </c>
      <c r="BF18" t="e">
        <f>AND(#REF!,"AAAAAD1dgjk=")</f>
        <v>#REF!</v>
      </c>
      <c r="BG18" t="e">
        <f>AND(#REF!,"AAAAAD1dgjo=")</f>
        <v>#REF!</v>
      </c>
      <c r="BH18" t="e">
        <f>AND(#REF!,"AAAAAD1dgjs=")</f>
        <v>#REF!</v>
      </c>
      <c r="BI18" t="e">
        <f>AND(#REF!,"AAAAAD1dgjw=")</f>
        <v>#REF!</v>
      </c>
      <c r="BJ18" t="e">
        <f>IF(#REF!,"AAAAAD1dgj0=",0)</f>
        <v>#REF!</v>
      </c>
      <c r="BK18" t="e">
        <f>AND(#REF!,"AAAAAD1dgj4=")</f>
        <v>#REF!</v>
      </c>
      <c r="BL18" t="e">
        <f>AND(#REF!,"AAAAAD1dgj8=")</f>
        <v>#REF!</v>
      </c>
      <c r="BM18" t="e">
        <f>AND(#REF!,"AAAAAD1dgkA=")</f>
        <v>#REF!</v>
      </c>
      <c r="BN18" t="e">
        <f>AND(#REF!,"AAAAAD1dgkE=")</f>
        <v>#REF!</v>
      </c>
      <c r="BO18" t="e">
        <f>AND(#REF!,"AAAAAD1dgkI=")</f>
        <v>#REF!</v>
      </c>
      <c r="BP18" t="e">
        <f>AND(#REF!,"AAAAAD1dgkM=")</f>
        <v>#REF!</v>
      </c>
      <c r="BQ18" t="e">
        <f>AND(#REF!,"AAAAAD1dgkQ=")</f>
        <v>#REF!</v>
      </c>
      <c r="BR18" t="e">
        <f>AND(#REF!,"AAAAAD1dgkU=")</f>
        <v>#REF!</v>
      </c>
      <c r="BS18" t="e">
        <f>AND(#REF!,"AAAAAD1dgkY=")</f>
        <v>#REF!</v>
      </c>
      <c r="BT18" t="e">
        <f>AND(#REF!,"AAAAAD1dgkc=")</f>
        <v>#REF!</v>
      </c>
      <c r="BU18" t="e">
        <f>AND(#REF!,"AAAAAD1dgkg=")</f>
        <v>#REF!</v>
      </c>
      <c r="BV18" t="e">
        <f>AND(#REF!,"AAAAAD1dgkk=")</f>
        <v>#REF!</v>
      </c>
      <c r="BW18" t="e">
        <f>AND(#REF!,"AAAAAD1dgko=")</f>
        <v>#REF!</v>
      </c>
      <c r="BX18" t="e">
        <f>IF(#REF!,"AAAAAD1dgks=",0)</f>
        <v>#REF!</v>
      </c>
      <c r="BY18" t="e">
        <f>AND(#REF!,"AAAAAD1dgkw=")</f>
        <v>#REF!</v>
      </c>
      <c r="BZ18" t="e">
        <f>AND(#REF!,"AAAAAD1dgk0=")</f>
        <v>#REF!</v>
      </c>
      <c r="CA18" t="e">
        <f>AND(#REF!,"AAAAAD1dgk4=")</f>
        <v>#REF!</v>
      </c>
      <c r="CB18" t="e">
        <f>AND(#REF!,"AAAAAD1dgk8=")</f>
        <v>#REF!</v>
      </c>
      <c r="CC18" t="e">
        <f>AND(#REF!,"AAAAAD1dglA=")</f>
        <v>#REF!</v>
      </c>
      <c r="CD18" t="e">
        <f>AND(#REF!,"AAAAAD1dglE=")</f>
        <v>#REF!</v>
      </c>
      <c r="CE18" t="e">
        <f>AND(#REF!,"AAAAAD1dglI=")</f>
        <v>#REF!</v>
      </c>
      <c r="CF18" t="e">
        <f>AND(#REF!,"AAAAAD1dglM=")</f>
        <v>#REF!</v>
      </c>
      <c r="CG18" t="e">
        <f>AND(#REF!,"AAAAAD1dglQ=")</f>
        <v>#REF!</v>
      </c>
      <c r="CH18" t="e">
        <f>AND(#REF!,"AAAAAD1dglU=")</f>
        <v>#REF!</v>
      </c>
      <c r="CI18" t="e">
        <f>AND(#REF!,"AAAAAD1dglY=")</f>
        <v>#REF!</v>
      </c>
      <c r="CJ18" t="e">
        <f>AND(#REF!,"AAAAAD1dglc=")</f>
        <v>#REF!</v>
      </c>
      <c r="CK18" t="e">
        <f>AND(#REF!,"AAAAAD1dglg=")</f>
        <v>#REF!</v>
      </c>
      <c r="CL18" t="e">
        <f>IF(#REF!,"AAAAAD1dglk=",0)</f>
        <v>#REF!</v>
      </c>
      <c r="CM18" t="e">
        <f>AND(#REF!,"AAAAAD1dglo=")</f>
        <v>#REF!</v>
      </c>
      <c r="CN18" t="e">
        <f>AND(#REF!,"AAAAAD1dgls=")</f>
        <v>#REF!</v>
      </c>
      <c r="CO18" t="e">
        <f>AND(#REF!,"AAAAAD1dglw=")</f>
        <v>#REF!</v>
      </c>
      <c r="CP18" t="e">
        <f>AND(#REF!,"AAAAAD1dgl0=")</f>
        <v>#REF!</v>
      </c>
      <c r="CQ18" t="e">
        <f>AND(#REF!,"AAAAAD1dgl4=")</f>
        <v>#REF!</v>
      </c>
      <c r="CR18" t="e">
        <f>AND(#REF!,"AAAAAD1dgl8=")</f>
        <v>#REF!</v>
      </c>
      <c r="CS18" t="e">
        <f>AND(#REF!,"AAAAAD1dgmA=")</f>
        <v>#REF!</v>
      </c>
      <c r="CT18" t="e">
        <f>AND(#REF!,"AAAAAD1dgmE=")</f>
        <v>#REF!</v>
      </c>
      <c r="CU18" t="e">
        <f>AND(#REF!,"AAAAAD1dgmI=")</f>
        <v>#REF!</v>
      </c>
      <c r="CV18" t="e">
        <f>AND(#REF!,"AAAAAD1dgmM=")</f>
        <v>#REF!</v>
      </c>
      <c r="CW18" t="e">
        <f>AND(#REF!,"AAAAAD1dgmQ=")</f>
        <v>#REF!</v>
      </c>
      <c r="CX18" t="e">
        <f>AND(#REF!,"AAAAAD1dgmU=")</f>
        <v>#REF!</v>
      </c>
      <c r="CY18" t="e">
        <f>AND(#REF!,"AAAAAD1dgmY=")</f>
        <v>#REF!</v>
      </c>
      <c r="CZ18" t="e">
        <f>IF(#REF!,"AAAAAD1dgmc=",0)</f>
        <v>#REF!</v>
      </c>
      <c r="DA18" t="e">
        <f>AND(#REF!,"AAAAAD1dgmg=")</f>
        <v>#REF!</v>
      </c>
      <c r="DB18" t="e">
        <f>AND(#REF!,"AAAAAD1dgmk=")</f>
        <v>#REF!</v>
      </c>
      <c r="DC18" t="e">
        <f>AND(#REF!,"AAAAAD1dgmo=")</f>
        <v>#REF!</v>
      </c>
      <c r="DD18" t="e">
        <f>AND(#REF!,"AAAAAD1dgms=")</f>
        <v>#REF!</v>
      </c>
      <c r="DE18" t="e">
        <f>AND(#REF!,"AAAAAD1dgmw=")</f>
        <v>#REF!</v>
      </c>
      <c r="DF18" t="e">
        <f>AND(#REF!,"AAAAAD1dgm0=")</f>
        <v>#REF!</v>
      </c>
      <c r="DG18" t="e">
        <f>AND(#REF!,"AAAAAD1dgm4=")</f>
        <v>#REF!</v>
      </c>
      <c r="DH18" t="e">
        <f>AND(#REF!,"AAAAAD1dgm8=")</f>
        <v>#REF!</v>
      </c>
      <c r="DI18" t="e">
        <f>AND(#REF!,"AAAAAD1dgnA=")</f>
        <v>#REF!</v>
      </c>
      <c r="DJ18" t="e">
        <f>AND(#REF!,"AAAAAD1dgnE=")</f>
        <v>#REF!</v>
      </c>
      <c r="DK18" t="e">
        <f>AND(#REF!,"AAAAAD1dgnI=")</f>
        <v>#REF!</v>
      </c>
      <c r="DL18" t="e">
        <f>AND(#REF!,"AAAAAD1dgnM=")</f>
        <v>#REF!</v>
      </c>
      <c r="DM18" t="e">
        <f>AND(#REF!,"AAAAAD1dgnQ=")</f>
        <v>#REF!</v>
      </c>
      <c r="DN18" t="e">
        <f>IF(#REF!,"AAAAAD1dgnU=",0)</f>
        <v>#REF!</v>
      </c>
      <c r="DO18" t="e">
        <f>AND(#REF!,"AAAAAD1dgnY=")</f>
        <v>#REF!</v>
      </c>
      <c r="DP18" t="e">
        <f>AND(#REF!,"AAAAAD1dgnc=")</f>
        <v>#REF!</v>
      </c>
      <c r="DQ18" t="e">
        <f>AND(#REF!,"AAAAAD1dgng=")</f>
        <v>#REF!</v>
      </c>
      <c r="DR18" t="e">
        <f>AND(#REF!,"AAAAAD1dgnk=")</f>
        <v>#REF!</v>
      </c>
      <c r="DS18" t="e">
        <f>AND(#REF!,"AAAAAD1dgno=")</f>
        <v>#REF!</v>
      </c>
      <c r="DT18" t="e">
        <f>AND(#REF!,"AAAAAD1dgns=")</f>
        <v>#REF!</v>
      </c>
      <c r="DU18" t="e">
        <f>AND(#REF!,"AAAAAD1dgnw=")</f>
        <v>#REF!</v>
      </c>
      <c r="DV18" t="e">
        <f>AND(#REF!,"AAAAAD1dgn0=")</f>
        <v>#REF!</v>
      </c>
      <c r="DW18" t="e">
        <f>AND(#REF!,"AAAAAD1dgn4=")</f>
        <v>#REF!</v>
      </c>
      <c r="DX18" t="e">
        <f>AND(#REF!,"AAAAAD1dgn8=")</f>
        <v>#REF!</v>
      </c>
      <c r="DY18" t="e">
        <f>AND(#REF!,"AAAAAD1dgoA=")</f>
        <v>#REF!</v>
      </c>
      <c r="DZ18" t="e">
        <f>AND(#REF!,"AAAAAD1dgoE=")</f>
        <v>#REF!</v>
      </c>
      <c r="EA18" t="e">
        <f>AND(#REF!,"AAAAAD1dgoI=")</f>
        <v>#REF!</v>
      </c>
      <c r="EB18" t="e">
        <f>IF(#REF!,"AAAAAD1dgoM=",0)</f>
        <v>#REF!</v>
      </c>
      <c r="EC18" t="e">
        <f>AND(#REF!,"AAAAAD1dgoQ=")</f>
        <v>#REF!</v>
      </c>
      <c r="ED18" t="e">
        <f>AND(#REF!,"AAAAAD1dgoU=")</f>
        <v>#REF!</v>
      </c>
      <c r="EE18" t="e">
        <f>AND(#REF!,"AAAAAD1dgoY=")</f>
        <v>#REF!</v>
      </c>
      <c r="EF18" t="e">
        <f>AND(#REF!,"AAAAAD1dgoc=")</f>
        <v>#REF!</v>
      </c>
      <c r="EG18" t="e">
        <f>AND(#REF!,"AAAAAD1dgog=")</f>
        <v>#REF!</v>
      </c>
      <c r="EH18" t="e">
        <f>AND(#REF!,"AAAAAD1dgok=")</f>
        <v>#REF!</v>
      </c>
      <c r="EI18" t="e">
        <f>AND(#REF!,"AAAAAD1dgoo=")</f>
        <v>#REF!</v>
      </c>
      <c r="EJ18" t="e">
        <f>AND(#REF!,"AAAAAD1dgos=")</f>
        <v>#REF!</v>
      </c>
      <c r="EK18" t="e">
        <f>AND(#REF!,"AAAAAD1dgow=")</f>
        <v>#REF!</v>
      </c>
      <c r="EL18" t="e">
        <f>AND(#REF!,"AAAAAD1dgo0=")</f>
        <v>#REF!</v>
      </c>
      <c r="EM18" t="e">
        <f>AND(#REF!,"AAAAAD1dgo4=")</f>
        <v>#REF!</v>
      </c>
      <c r="EN18" t="e">
        <f>AND(#REF!,"AAAAAD1dgo8=")</f>
        <v>#REF!</v>
      </c>
      <c r="EO18" t="e">
        <f>AND(#REF!,"AAAAAD1dgpA=")</f>
        <v>#REF!</v>
      </c>
      <c r="EP18" t="e">
        <f>IF(#REF!,"AAAAAD1dgpE=",0)</f>
        <v>#REF!</v>
      </c>
      <c r="EQ18" t="e">
        <f>AND(#REF!,"AAAAAD1dgpI=")</f>
        <v>#REF!</v>
      </c>
      <c r="ER18" t="e">
        <f>AND(#REF!,"AAAAAD1dgpM=")</f>
        <v>#REF!</v>
      </c>
      <c r="ES18" t="e">
        <f>AND(#REF!,"AAAAAD1dgpQ=")</f>
        <v>#REF!</v>
      </c>
      <c r="ET18" t="e">
        <f>AND(#REF!,"AAAAAD1dgpU=")</f>
        <v>#REF!</v>
      </c>
      <c r="EU18" t="e">
        <f>AND(#REF!,"AAAAAD1dgpY=")</f>
        <v>#REF!</v>
      </c>
      <c r="EV18" t="e">
        <f>AND(#REF!,"AAAAAD1dgpc=")</f>
        <v>#REF!</v>
      </c>
      <c r="EW18" t="e">
        <f>AND(#REF!,"AAAAAD1dgpg=")</f>
        <v>#REF!</v>
      </c>
      <c r="EX18" t="e">
        <f>AND(#REF!,"AAAAAD1dgpk=")</f>
        <v>#REF!</v>
      </c>
      <c r="EY18" t="e">
        <f>AND(#REF!,"AAAAAD1dgpo=")</f>
        <v>#REF!</v>
      </c>
      <c r="EZ18" t="e">
        <f>AND(#REF!,"AAAAAD1dgps=")</f>
        <v>#REF!</v>
      </c>
      <c r="FA18" t="e">
        <f>AND(#REF!,"AAAAAD1dgpw=")</f>
        <v>#REF!</v>
      </c>
      <c r="FB18" t="e">
        <f>AND(#REF!,"AAAAAD1dgp0=")</f>
        <v>#REF!</v>
      </c>
      <c r="FC18" t="e">
        <f>AND(#REF!,"AAAAAD1dgp4=")</f>
        <v>#REF!</v>
      </c>
      <c r="FD18" t="e">
        <f>IF(#REF!,"AAAAAD1dgp8=",0)</f>
        <v>#REF!</v>
      </c>
      <c r="FE18" t="e">
        <f>AND(#REF!,"AAAAAD1dgqA=")</f>
        <v>#REF!</v>
      </c>
      <c r="FF18" t="e">
        <f>AND(#REF!,"AAAAAD1dgqE=")</f>
        <v>#REF!</v>
      </c>
      <c r="FG18" t="e">
        <f>AND(#REF!,"AAAAAD1dgqI=")</f>
        <v>#REF!</v>
      </c>
      <c r="FH18" t="e">
        <f>AND(#REF!,"AAAAAD1dgqM=")</f>
        <v>#REF!</v>
      </c>
      <c r="FI18" t="e">
        <f>AND(#REF!,"AAAAAD1dgqQ=")</f>
        <v>#REF!</v>
      </c>
      <c r="FJ18" t="e">
        <f>AND(#REF!,"AAAAAD1dgqU=")</f>
        <v>#REF!</v>
      </c>
      <c r="FK18" t="e">
        <f>AND(#REF!,"AAAAAD1dgqY=")</f>
        <v>#REF!</v>
      </c>
      <c r="FL18" t="e">
        <f>AND(#REF!,"AAAAAD1dgqc=")</f>
        <v>#REF!</v>
      </c>
      <c r="FM18" t="e">
        <f>AND(#REF!,"AAAAAD1dgqg=")</f>
        <v>#REF!</v>
      </c>
      <c r="FN18" t="e">
        <f>AND(#REF!,"AAAAAD1dgqk=")</f>
        <v>#REF!</v>
      </c>
      <c r="FO18" t="e">
        <f>AND(#REF!,"AAAAAD1dgqo=")</f>
        <v>#REF!</v>
      </c>
      <c r="FP18" t="e">
        <f>AND(#REF!,"AAAAAD1dgqs=")</f>
        <v>#REF!</v>
      </c>
      <c r="FQ18" t="e">
        <f>AND(#REF!,"AAAAAD1dgqw=")</f>
        <v>#REF!</v>
      </c>
      <c r="FR18" t="e">
        <f>IF(#REF!,"AAAAAD1dgq0=",0)</f>
        <v>#REF!</v>
      </c>
      <c r="FS18" t="e">
        <f>AND(#REF!,"AAAAAD1dgq4=")</f>
        <v>#REF!</v>
      </c>
      <c r="FT18" t="e">
        <f>AND(#REF!,"AAAAAD1dgq8=")</f>
        <v>#REF!</v>
      </c>
      <c r="FU18" t="e">
        <f>AND(#REF!,"AAAAAD1dgrA=")</f>
        <v>#REF!</v>
      </c>
      <c r="FV18" t="e">
        <f>AND(#REF!,"AAAAAD1dgrE=")</f>
        <v>#REF!</v>
      </c>
      <c r="FW18" t="e">
        <f>AND(#REF!,"AAAAAD1dgrI=")</f>
        <v>#REF!</v>
      </c>
      <c r="FX18" t="e">
        <f>AND(#REF!,"AAAAAD1dgrM=")</f>
        <v>#REF!</v>
      </c>
      <c r="FY18" t="e">
        <f>AND(#REF!,"AAAAAD1dgrQ=")</f>
        <v>#REF!</v>
      </c>
      <c r="FZ18" t="e">
        <f>AND(#REF!,"AAAAAD1dgrU=")</f>
        <v>#REF!</v>
      </c>
      <c r="GA18" t="e">
        <f>AND(#REF!,"AAAAAD1dgrY=")</f>
        <v>#REF!</v>
      </c>
      <c r="GB18" t="e">
        <f>AND(#REF!,"AAAAAD1dgrc=")</f>
        <v>#REF!</v>
      </c>
      <c r="GC18" t="e">
        <f>AND(#REF!,"AAAAAD1dgrg=")</f>
        <v>#REF!</v>
      </c>
      <c r="GD18" t="e">
        <f>AND(#REF!,"AAAAAD1dgrk=")</f>
        <v>#REF!</v>
      </c>
      <c r="GE18" t="e">
        <f>AND(#REF!,"AAAAAD1dgro=")</f>
        <v>#REF!</v>
      </c>
      <c r="GF18" t="e">
        <f>IF(#REF!,"AAAAAD1dgrs=",0)</f>
        <v>#REF!</v>
      </c>
      <c r="GG18" t="e">
        <f>AND(#REF!,"AAAAAD1dgrw=")</f>
        <v>#REF!</v>
      </c>
      <c r="GH18" t="e">
        <f>AND(#REF!,"AAAAAD1dgr0=")</f>
        <v>#REF!</v>
      </c>
      <c r="GI18" t="e">
        <f>AND(#REF!,"AAAAAD1dgr4=")</f>
        <v>#REF!</v>
      </c>
      <c r="GJ18" t="e">
        <f>AND(#REF!,"AAAAAD1dgr8=")</f>
        <v>#REF!</v>
      </c>
      <c r="GK18" t="e">
        <f>AND(#REF!,"AAAAAD1dgsA=")</f>
        <v>#REF!</v>
      </c>
      <c r="GL18" t="e">
        <f>AND(#REF!,"AAAAAD1dgsE=")</f>
        <v>#REF!</v>
      </c>
      <c r="GM18" t="e">
        <f>AND(#REF!,"AAAAAD1dgsI=")</f>
        <v>#REF!</v>
      </c>
      <c r="GN18" t="e">
        <f>AND(#REF!,"AAAAAD1dgsM=")</f>
        <v>#REF!</v>
      </c>
      <c r="GO18" t="e">
        <f>AND(#REF!,"AAAAAD1dgsQ=")</f>
        <v>#REF!</v>
      </c>
      <c r="GP18" t="e">
        <f>AND(#REF!,"AAAAAD1dgsU=")</f>
        <v>#REF!</v>
      </c>
      <c r="GQ18" t="e">
        <f>AND(#REF!,"AAAAAD1dgsY=")</f>
        <v>#REF!</v>
      </c>
      <c r="GR18" t="e">
        <f>AND(#REF!,"AAAAAD1dgsc=")</f>
        <v>#REF!</v>
      </c>
      <c r="GS18" t="e">
        <f>AND(#REF!,"AAAAAD1dgsg=")</f>
        <v>#REF!</v>
      </c>
      <c r="GT18" t="e">
        <f>IF(#REF!,"AAAAAD1dgsk=",0)</f>
        <v>#REF!</v>
      </c>
      <c r="GU18" t="e">
        <f>AND(#REF!,"AAAAAD1dgso=")</f>
        <v>#REF!</v>
      </c>
      <c r="GV18" t="e">
        <f>AND(#REF!,"AAAAAD1dgss=")</f>
        <v>#REF!</v>
      </c>
      <c r="GW18" t="e">
        <f>AND(#REF!,"AAAAAD1dgsw=")</f>
        <v>#REF!</v>
      </c>
      <c r="GX18" t="e">
        <f>AND(#REF!,"AAAAAD1dgs0=")</f>
        <v>#REF!</v>
      </c>
      <c r="GY18" t="e">
        <f>AND(#REF!,"AAAAAD1dgs4=")</f>
        <v>#REF!</v>
      </c>
      <c r="GZ18" t="e">
        <f>AND(#REF!,"AAAAAD1dgs8=")</f>
        <v>#REF!</v>
      </c>
      <c r="HA18" t="e">
        <f>AND(#REF!,"AAAAAD1dgtA=")</f>
        <v>#REF!</v>
      </c>
      <c r="HB18" t="e">
        <f>AND(#REF!,"AAAAAD1dgtE=")</f>
        <v>#REF!</v>
      </c>
      <c r="HC18" t="e">
        <f>AND(#REF!,"AAAAAD1dgtI=")</f>
        <v>#REF!</v>
      </c>
      <c r="HD18" t="e">
        <f>AND(#REF!,"AAAAAD1dgtM=")</f>
        <v>#REF!</v>
      </c>
      <c r="HE18" t="e">
        <f>AND(#REF!,"AAAAAD1dgtQ=")</f>
        <v>#REF!</v>
      </c>
      <c r="HF18" t="e">
        <f>AND(#REF!,"AAAAAD1dgtU=")</f>
        <v>#REF!</v>
      </c>
      <c r="HG18" t="e">
        <f>AND(#REF!,"AAAAAD1dgtY=")</f>
        <v>#REF!</v>
      </c>
      <c r="HH18" t="e">
        <f>IF(#REF!,"AAAAAD1dgtc=",0)</f>
        <v>#REF!</v>
      </c>
      <c r="HI18" t="e">
        <f>AND(#REF!,"AAAAAD1dgtg=")</f>
        <v>#REF!</v>
      </c>
      <c r="HJ18" t="e">
        <f>AND(#REF!,"AAAAAD1dgtk=")</f>
        <v>#REF!</v>
      </c>
      <c r="HK18" t="e">
        <f>AND(#REF!,"AAAAAD1dgto=")</f>
        <v>#REF!</v>
      </c>
      <c r="HL18" t="e">
        <f>AND(#REF!,"AAAAAD1dgts=")</f>
        <v>#REF!</v>
      </c>
      <c r="HM18" t="e">
        <f>AND(#REF!,"AAAAAD1dgtw=")</f>
        <v>#REF!</v>
      </c>
      <c r="HN18" t="e">
        <f>AND(#REF!,"AAAAAD1dgt0=")</f>
        <v>#REF!</v>
      </c>
      <c r="HO18" t="e">
        <f>AND(#REF!,"AAAAAD1dgt4=")</f>
        <v>#REF!</v>
      </c>
      <c r="HP18" t="e">
        <f>AND(#REF!,"AAAAAD1dgt8=")</f>
        <v>#REF!</v>
      </c>
      <c r="HQ18" t="e">
        <f>AND(#REF!,"AAAAAD1dguA=")</f>
        <v>#REF!</v>
      </c>
      <c r="HR18" t="e">
        <f>AND(#REF!,"AAAAAD1dguE=")</f>
        <v>#REF!</v>
      </c>
      <c r="HS18" t="e">
        <f>AND(#REF!,"AAAAAD1dguI=")</f>
        <v>#REF!</v>
      </c>
      <c r="HT18" t="e">
        <f>AND(#REF!,"AAAAAD1dguM=")</f>
        <v>#REF!</v>
      </c>
      <c r="HU18" t="e">
        <f>AND(#REF!,"AAAAAD1dguQ=")</f>
        <v>#REF!</v>
      </c>
      <c r="HV18" t="e">
        <f>IF(#REF!,"AAAAAD1dguU=",0)</f>
        <v>#REF!</v>
      </c>
      <c r="HW18" t="e">
        <f>AND(#REF!,"AAAAAD1dguY=")</f>
        <v>#REF!</v>
      </c>
      <c r="HX18" t="e">
        <f>AND(#REF!,"AAAAAD1dguc=")</f>
        <v>#REF!</v>
      </c>
      <c r="HY18" t="e">
        <f>AND(#REF!,"AAAAAD1dgug=")</f>
        <v>#REF!</v>
      </c>
      <c r="HZ18" t="e">
        <f>AND(#REF!,"AAAAAD1dguk=")</f>
        <v>#REF!</v>
      </c>
      <c r="IA18" t="e">
        <f>AND(#REF!,"AAAAAD1dguo=")</f>
        <v>#REF!</v>
      </c>
      <c r="IB18" t="e">
        <f>AND(#REF!,"AAAAAD1dgus=")</f>
        <v>#REF!</v>
      </c>
      <c r="IC18" t="e">
        <f>AND(#REF!,"AAAAAD1dguw=")</f>
        <v>#REF!</v>
      </c>
      <c r="ID18" t="e">
        <f>AND(#REF!,"AAAAAD1dgu0=")</f>
        <v>#REF!</v>
      </c>
      <c r="IE18" t="e">
        <f>AND(#REF!,"AAAAAD1dgu4=")</f>
        <v>#REF!</v>
      </c>
      <c r="IF18" t="e">
        <f>AND(#REF!,"AAAAAD1dgu8=")</f>
        <v>#REF!</v>
      </c>
      <c r="IG18" t="e">
        <f>AND(#REF!,"AAAAAD1dgvA=")</f>
        <v>#REF!</v>
      </c>
      <c r="IH18" t="e">
        <f>AND(#REF!,"AAAAAD1dgvE=")</f>
        <v>#REF!</v>
      </c>
      <c r="II18" t="e">
        <f>AND(#REF!,"AAAAAD1dgvI=")</f>
        <v>#REF!</v>
      </c>
      <c r="IJ18" t="e">
        <f>IF(#REF!,"AAAAAD1dgvM=",0)</f>
        <v>#REF!</v>
      </c>
      <c r="IK18" t="e">
        <f>AND(#REF!,"AAAAAD1dgvQ=")</f>
        <v>#REF!</v>
      </c>
      <c r="IL18" t="e">
        <f>AND(#REF!,"AAAAAD1dgvU=")</f>
        <v>#REF!</v>
      </c>
      <c r="IM18" t="e">
        <f>AND(#REF!,"AAAAAD1dgvY=")</f>
        <v>#REF!</v>
      </c>
      <c r="IN18" t="e">
        <f>AND(#REF!,"AAAAAD1dgvc=")</f>
        <v>#REF!</v>
      </c>
      <c r="IO18" t="e">
        <f>AND(#REF!,"AAAAAD1dgvg=")</f>
        <v>#REF!</v>
      </c>
      <c r="IP18" t="e">
        <f>AND(#REF!,"AAAAAD1dgvk=")</f>
        <v>#REF!</v>
      </c>
      <c r="IQ18" t="e">
        <f>AND(#REF!,"AAAAAD1dgvo=")</f>
        <v>#REF!</v>
      </c>
      <c r="IR18" t="e">
        <f>AND(#REF!,"AAAAAD1dgvs=")</f>
        <v>#REF!</v>
      </c>
      <c r="IS18" t="e">
        <f>AND(#REF!,"AAAAAD1dgvw=")</f>
        <v>#REF!</v>
      </c>
      <c r="IT18" t="e">
        <f>AND(#REF!,"AAAAAD1dgv0=")</f>
        <v>#REF!</v>
      </c>
      <c r="IU18" t="e">
        <f>AND(#REF!,"AAAAAD1dgv4=")</f>
        <v>#REF!</v>
      </c>
      <c r="IV18" t="e">
        <f>AND(#REF!,"AAAAAD1dgv8=")</f>
        <v>#REF!</v>
      </c>
    </row>
    <row r="19" spans="1:256" x14ac:dyDescent="0.35">
      <c r="A19" t="e">
        <f>AND(#REF!,"AAAAAHa5/wA=")</f>
        <v>#REF!</v>
      </c>
      <c r="B19" t="e">
        <f>IF(#REF!,"AAAAAHa5/wE=",0)</f>
        <v>#REF!</v>
      </c>
      <c r="C19" t="e">
        <f>AND(#REF!,"AAAAAHa5/wI=")</f>
        <v>#REF!</v>
      </c>
      <c r="D19" t="e">
        <f>AND(#REF!,"AAAAAHa5/wM=")</f>
        <v>#REF!</v>
      </c>
      <c r="E19" t="e">
        <f>AND(#REF!,"AAAAAHa5/wQ=")</f>
        <v>#REF!</v>
      </c>
      <c r="F19" t="e">
        <f>AND(#REF!,"AAAAAHa5/wU=")</f>
        <v>#REF!</v>
      </c>
      <c r="G19" t="e">
        <f>AND(#REF!,"AAAAAHa5/wY=")</f>
        <v>#REF!</v>
      </c>
      <c r="H19" t="e">
        <f>AND(#REF!,"AAAAAHa5/wc=")</f>
        <v>#REF!</v>
      </c>
      <c r="I19" t="e">
        <f>AND(#REF!,"AAAAAHa5/wg=")</f>
        <v>#REF!</v>
      </c>
      <c r="J19" t="e">
        <f>AND(#REF!,"AAAAAHa5/wk=")</f>
        <v>#REF!</v>
      </c>
      <c r="K19" t="e">
        <f>AND(#REF!,"AAAAAHa5/wo=")</f>
        <v>#REF!</v>
      </c>
      <c r="L19" t="e">
        <f>AND(#REF!,"AAAAAHa5/ws=")</f>
        <v>#REF!</v>
      </c>
      <c r="M19" t="e">
        <f>AND(#REF!,"AAAAAHa5/ww=")</f>
        <v>#REF!</v>
      </c>
      <c r="N19" t="e">
        <f>AND(#REF!,"AAAAAHa5/w0=")</f>
        <v>#REF!</v>
      </c>
      <c r="O19" t="e">
        <f>AND(#REF!,"AAAAAHa5/w4=")</f>
        <v>#REF!</v>
      </c>
      <c r="P19" t="e">
        <f>IF(#REF!,"AAAAAHa5/w8=",0)</f>
        <v>#REF!</v>
      </c>
      <c r="Q19" t="e">
        <f>AND(#REF!,"AAAAAHa5/xA=")</f>
        <v>#REF!</v>
      </c>
      <c r="R19" t="e">
        <f>AND(#REF!,"AAAAAHa5/xE=")</f>
        <v>#REF!</v>
      </c>
      <c r="S19" t="e">
        <f>AND(#REF!,"AAAAAHa5/xI=")</f>
        <v>#REF!</v>
      </c>
      <c r="T19" t="e">
        <f>AND(#REF!,"AAAAAHa5/xM=")</f>
        <v>#REF!</v>
      </c>
      <c r="U19" t="e">
        <f>AND(#REF!,"AAAAAHa5/xQ=")</f>
        <v>#REF!</v>
      </c>
      <c r="V19" t="e">
        <f>AND(#REF!,"AAAAAHa5/xU=")</f>
        <v>#REF!</v>
      </c>
      <c r="W19" t="e">
        <f>AND(#REF!,"AAAAAHa5/xY=")</f>
        <v>#REF!</v>
      </c>
      <c r="X19" t="e">
        <f>AND(#REF!,"AAAAAHa5/xc=")</f>
        <v>#REF!</v>
      </c>
      <c r="Y19" t="e">
        <f>AND(#REF!,"AAAAAHa5/xg=")</f>
        <v>#REF!</v>
      </c>
      <c r="Z19" t="e">
        <f>AND(#REF!,"AAAAAHa5/xk=")</f>
        <v>#REF!</v>
      </c>
      <c r="AA19" t="e">
        <f>AND(#REF!,"AAAAAHa5/xo=")</f>
        <v>#REF!</v>
      </c>
      <c r="AB19" t="e">
        <f>AND(#REF!,"AAAAAHa5/xs=")</f>
        <v>#REF!</v>
      </c>
      <c r="AC19" t="e">
        <f>AND(#REF!,"AAAAAHa5/xw=")</f>
        <v>#REF!</v>
      </c>
      <c r="AD19" t="e">
        <f>IF(#REF!,"AAAAAHa5/x0=",0)</f>
        <v>#REF!</v>
      </c>
      <c r="AE19" t="e">
        <f>AND(#REF!,"AAAAAHa5/x4=")</f>
        <v>#REF!</v>
      </c>
      <c r="AF19" t="e">
        <f>AND(#REF!,"AAAAAHa5/x8=")</f>
        <v>#REF!</v>
      </c>
      <c r="AG19" t="e">
        <f>AND(#REF!,"AAAAAHa5/yA=")</f>
        <v>#REF!</v>
      </c>
      <c r="AH19" t="e">
        <f>AND(#REF!,"AAAAAHa5/yE=")</f>
        <v>#REF!</v>
      </c>
      <c r="AI19" t="e">
        <f>AND(#REF!,"AAAAAHa5/yI=")</f>
        <v>#REF!</v>
      </c>
      <c r="AJ19" t="e">
        <f>AND(#REF!,"AAAAAHa5/yM=")</f>
        <v>#REF!</v>
      </c>
      <c r="AK19" t="e">
        <f>AND(#REF!,"AAAAAHa5/yQ=")</f>
        <v>#REF!</v>
      </c>
      <c r="AL19" t="e">
        <f>AND(#REF!,"AAAAAHa5/yU=")</f>
        <v>#REF!</v>
      </c>
      <c r="AM19" t="e">
        <f>IF(#REF!,"AAAAAHa5/yY=",0)</f>
        <v>#REF!</v>
      </c>
      <c r="AN19" t="e">
        <f>AND(#REF!,"AAAAAHa5/yc=")</f>
        <v>#REF!</v>
      </c>
      <c r="AO19" t="e">
        <f>AND(#REF!,"AAAAAHa5/yg=")</f>
        <v>#REF!</v>
      </c>
      <c r="AP19" t="e">
        <f>AND(#REF!,"AAAAAHa5/yk=")</f>
        <v>#REF!</v>
      </c>
      <c r="AQ19" t="e">
        <f>AND(#REF!,"AAAAAHa5/yo=")</f>
        <v>#REF!</v>
      </c>
      <c r="AR19" t="e">
        <f>AND(#REF!,"AAAAAHa5/ys=")</f>
        <v>#REF!</v>
      </c>
      <c r="AS19" t="e">
        <f>AND(#REF!,"AAAAAHa5/yw=")</f>
        <v>#REF!</v>
      </c>
      <c r="AT19" t="e">
        <f>AND(#REF!,"AAAAAHa5/y0=")</f>
        <v>#REF!</v>
      </c>
      <c r="AU19" t="e">
        <f>AND(#REF!,"AAAAAHa5/y4=")</f>
        <v>#REF!</v>
      </c>
      <c r="AV19" t="e">
        <f>IF(#REF!,"AAAAAHa5/y8=",0)</f>
        <v>#REF!</v>
      </c>
      <c r="AW19" t="e">
        <f>AND(#REF!,"AAAAAHa5/zA=")</f>
        <v>#REF!</v>
      </c>
      <c r="AX19" t="e">
        <f>AND(#REF!,"AAAAAHa5/zE=")</f>
        <v>#REF!</v>
      </c>
      <c r="AY19" t="e">
        <f>AND(#REF!,"AAAAAHa5/zI=")</f>
        <v>#REF!</v>
      </c>
      <c r="AZ19" t="e">
        <f>AND(#REF!,"AAAAAHa5/zM=")</f>
        <v>#REF!</v>
      </c>
      <c r="BA19" t="e">
        <f>AND(#REF!,"AAAAAHa5/zQ=")</f>
        <v>#REF!</v>
      </c>
      <c r="BB19" t="e">
        <f>AND(#REF!,"AAAAAHa5/zU=")</f>
        <v>#REF!</v>
      </c>
      <c r="BC19" t="e">
        <f>AND(#REF!,"AAAAAHa5/zY=")</f>
        <v>#REF!</v>
      </c>
      <c r="BD19" t="e">
        <f>AND(#REF!,"AAAAAHa5/zc=")</f>
        <v>#REF!</v>
      </c>
      <c r="BE19" t="e">
        <f>IF(#REF!,"AAAAAHa5/zg=",0)</f>
        <v>#REF!</v>
      </c>
      <c r="BF19" t="e">
        <f>AND(#REF!,"AAAAAHa5/zk=")</f>
        <v>#REF!</v>
      </c>
      <c r="BG19" t="e">
        <f>AND(#REF!,"AAAAAHa5/zo=")</f>
        <v>#REF!</v>
      </c>
      <c r="BH19" t="e">
        <f>AND(#REF!,"AAAAAHa5/zs=")</f>
        <v>#REF!</v>
      </c>
      <c r="BI19" t="e">
        <f>AND(#REF!,"AAAAAHa5/zw=")</f>
        <v>#REF!</v>
      </c>
      <c r="BJ19" t="e">
        <f>AND(#REF!,"AAAAAHa5/z0=")</f>
        <v>#REF!</v>
      </c>
      <c r="BK19" t="e">
        <f>AND(#REF!,"AAAAAHa5/z4=")</f>
        <v>#REF!</v>
      </c>
      <c r="BL19" t="e">
        <f>AND(#REF!,"AAAAAHa5/z8=")</f>
        <v>#REF!</v>
      </c>
      <c r="BM19" t="e">
        <f>AND(#REF!,"AAAAAHa5/0A=")</f>
        <v>#REF!</v>
      </c>
      <c r="BN19" t="e">
        <f>IF(#REF!,"AAAAAHa5/0E=",0)</f>
        <v>#REF!</v>
      </c>
      <c r="BO19" t="e">
        <f>AND(#REF!,"AAAAAHa5/0I=")</f>
        <v>#REF!</v>
      </c>
      <c r="BP19" t="e">
        <f>AND(#REF!,"AAAAAHa5/0M=")</f>
        <v>#REF!</v>
      </c>
      <c r="BQ19" t="e">
        <f>AND(#REF!,"AAAAAHa5/0Q=")</f>
        <v>#REF!</v>
      </c>
      <c r="BR19" t="e">
        <f>AND(#REF!,"AAAAAHa5/0U=")</f>
        <v>#REF!</v>
      </c>
      <c r="BS19" t="e">
        <f>AND(#REF!,"AAAAAHa5/0Y=")</f>
        <v>#REF!</v>
      </c>
      <c r="BT19" t="e">
        <f>AND(#REF!,"AAAAAHa5/0c=")</f>
        <v>#REF!</v>
      </c>
      <c r="BU19" t="e">
        <f>AND(#REF!,"AAAAAHa5/0g=")</f>
        <v>#REF!</v>
      </c>
      <c r="BV19" t="e">
        <f>AND(#REF!,"AAAAAHa5/0k=")</f>
        <v>#REF!</v>
      </c>
      <c r="BW19" t="e">
        <f>IF(#REF!,"AAAAAHa5/0o=",0)</f>
        <v>#REF!</v>
      </c>
      <c r="BX19" t="e">
        <f>AND(#REF!,"AAAAAHa5/0s=")</f>
        <v>#REF!</v>
      </c>
      <c r="BY19" t="e">
        <f>AND(#REF!,"AAAAAHa5/0w=")</f>
        <v>#REF!</v>
      </c>
      <c r="BZ19" t="e">
        <f>AND(#REF!,"AAAAAHa5/00=")</f>
        <v>#REF!</v>
      </c>
      <c r="CA19" t="e">
        <f>AND(#REF!,"AAAAAHa5/04=")</f>
        <v>#REF!</v>
      </c>
      <c r="CB19" t="e">
        <f>AND(#REF!,"AAAAAHa5/08=")</f>
        <v>#REF!</v>
      </c>
      <c r="CC19" t="e">
        <f>AND(#REF!,"AAAAAHa5/1A=")</f>
        <v>#REF!</v>
      </c>
      <c r="CD19" t="e">
        <f>AND(#REF!,"AAAAAHa5/1E=")</f>
        <v>#REF!</v>
      </c>
      <c r="CE19" t="e">
        <f>AND(#REF!,"AAAAAHa5/1I=")</f>
        <v>#REF!</v>
      </c>
      <c r="CF19" t="e">
        <f>IF(#REF!,"AAAAAHa5/1M=",0)</f>
        <v>#REF!</v>
      </c>
      <c r="CG19" t="e">
        <f>AND(#REF!,"AAAAAHa5/1Q=")</f>
        <v>#REF!</v>
      </c>
      <c r="CH19" t="e">
        <f>AND(#REF!,"AAAAAHa5/1U=")</f>
        <v>#REF!</v>
      </c>
      <c r="CI19" t="e">
        <f>AND(#REF!,"AAAAAHa5/1Y=")</f>
        <v>#REF!</v>
      </c>
      <c r="CJ19" t="e">
        <f>AND(#REF!,"AAAAAHa5/1c=")</f>
        <v>#REF!</v>
      </c>
      <c r="CK19" t="e">
        <f>AND(#REF!,"AAAAAHa5/1g=")</f>
        <v>#REF!</v>
      </c>
      <c r="CL19" t="e">
        <f>AND(#REF!,"AAAAAHa5/1k=")</f>
        <v>#REF!</v>
      </c>
      <c r="CM19" t="e">
        <f>AND(#REF!,"AAAAAHa5/1o=")</f>
        <v>#REF!</v>
      </c>
      <c r="CN19" t="e">
        <f>AND(#REF!,"AAAAAHa5/1s=")</f>
        <v>#REF!</v>
      </c>
      <c r="CO19" t="e">
        <f>IF(#REF!,"AAAAAHa5/1w=",0)</f>
        <v>#REF!</v>
      </c>
      <c r="CP19" t="e">
        <f>AND(#REF!,"AAAAAHa5/10=")</f>
        <v>#REF!</v>
      </c>
      <c r="CQ19" t="e">
        <f>AND(#REF!,"AAAAAHa5/14=")</f>
        <v>#REF!</v>
      </c>
      <c r="CR19" t="e">
        <f>AND(#REF!,"AAAAAHa5/18=")</f>
        <v>#REF!</v>
      </c>
      <c r="CS19" t="e">
        <f>AND(#REF!,"AAAAAHa5/2A=")</f>
        <v>#REF!</v>
      </c>
      <c r="CT19" t="e">
        <f>AND(#REF!,"AAAAAHa5/2E=")</f>
        <v>#REF!</v>
      </c>
      <c r="CU19" t="e">
        <f>AND(#REF!,"AAAAAHa5/2I=")</f>
        <v>#REF!</v>
      </c>
      <c r="CV19" t="e">
        <f>AND(#REF!,"AAAAAHa5/2M=")</f>
        <v>#REF!</v>
      </c>
      <c r="CW19" t="e">
        <f>AND(#REF!,"AAAAAHa5/2Q=")</f>
        <v>#REF!</v>
      </c>
      <c r="CX19" t="e">
        <f>IF(#REF!,"AAAAAHa5/2U=",0)</f>
        <v>#REF!</v>
      </c>
      <c r="CY19" t="e">
        <f>AND(#REF!,"AAAAAHa5/2Y=")</f>
        <v>#REF!</v>
      </c>
      <c r="CZ19" t="e">
        <f>AND(#REF!,"AAAAAHa5/2c=")</f>
        <v>#REF!</v>
      </c>
      <c r="DA19" t="e">
        <f>AND(#REF!,"AAAAAHa5/2g=")</f>
        <v>#REF!</v>
      </c>
      <c r="DB19" t="e">
        <f>AND(#REF!,"AAAAAHa5/2k=")</f>
        <v>#REF!</v>
      </c>
      <c r="DC19" t="e">
        <f>AND(#REF!,"AAAAAHa5/2o=")</f>
        <v>#REF!</v>
      </c>
      <c r="DD19" t="e">
        <f>AND(#REF!,"AAAAAHa5/2s=")</f>
        <v>#REF!</v>
      </c>
      <c r="DE19" t="e">
        <f>AND(#REF!,"AAAAAHa5/2w=")</f>
        <v>#REF!</v>
      </c>
      <c r="DF19" t="e">
        <f>AND(#REF!,"AAAAAHa5/20=")</f>
        <v>#REF!</v>
      </c>
      <c r="DG19" t="e">
        <f>IF(#REF!,"AAAAAHa5/24=",0)</f>
        <v>#REF!</v>
      </c>
      <c r="DH19" t="e">
        <f>AND(#REF!,"AAAAAHa5/28=")</f>
        <v>#REF!</v>
      </c>
      <c r="DI19" t="e">
        <f>AND(#REF!,"AAAAAHa5/3A=")</f>
        <v>#REF!</v>
      </c>
      <c r="DJ19" t="e">
        <f>AND(#REF!,"AAAAAHa5/3E=")</f>
        <v>#REF!</v>
      </c>
      <c r="DK19" t="e">
        <f>AND(#REF!,"AAAAAHa5/3I=")</f>
        <v>#REF!</v>
      </c>
      <c r="DL19" t="e">
        <f>AND(#REF!,"AAAAAHa5/3M=")</f>
        <v>#REF!</v>
      </c>
      <c r="DM19" t="e">
        <f>AND(#REF!,"AAAAAHa5/3Q=")</f>
        <v>#REF!</v>
      </c>
      <c r="DN19" t="e">
        <f>AND(#REF!,"AAAAAHa5/3U=")</f>
        <v>#REF!</v>
      </c>
      <c r="DO19" t="e">
        <f>AND(#REF!,"AAAAAHa5/3Y=")</f>
        <v>#REF!</v>
      </c>
      <c r="DP19" t="e">
        <f>IF(#REF!,"AAAAAHa5/3c=",0)</f>
        <v>#REF!</v>
      </c>
      <c r="DQ19" t="e">
        <f>AND(#REF!,"AAAAAHa5/3g=")</f>
        <v>#REF!</v>
      </c>
      <c r="DR19" t="e">
        <f>AND(#REF!,"AAAAAHa5/3k=")</f>
        <v>#REF!</v>
      </c>
      <c r="DS19" t="e">
        <f>AND(#REF!,"AAAAAHa5/3o=")</f>
        <v>#REF!</v>
      </c>
      <c r="DT19" t="e">
        <f>AND(#REF!,"AAAAAHa5/3s=")</f>
        <v>#REF!</v>
      </c>
      <c r="DU19" t="e">
        <f>AND(#REF!,"AAAAAHa5/3w=")</f>
        <v>#REF!</v>
      </c>
      <c r="DV19" t="e">
        <f>AND(#REF!,"AAAAAHa5/30=")</f>
        <v>#REF!</v>
      </c>
      <c r="DW19" t="e">
        <f>AND(#REF!,"AAAAAHa5/34=")</f>
        <v>#REF!</v>
      </c>
      <c r="DX19" t="e">
        <f>AND(#REF!,"AAAAAHa5/38=")</f>
        <v>#REF!</v>
      </c>
      <c r="DY19" t="e">
        <f>IF(#REF!,"AAAAAHa5/4A=",0)</f>
        <v>#REF!</v>
      </c>
      <c r="DZ19" t="e">
        <f>AND(#REF!,"AAAAAHa5/4E=")</f>
        <v>#REF!</v>
      </c>
      <c r="EA19" t="e">
        <f>AND(#REF!,"AAAAAHa5/4I=")</f>
        <v>#REF!</v>
      </c>
      <c r="EB19" t="e">
        <f>AND(#REF!,"AAAAAHa5/4M=")</f>
        <v>#REF!</v>
      </c>
      <c r="EC19" t="e">
        <f>AND(#REF!,"AAAAAHa5/4Q=")</f>
        <v>#REF!</v>
      </c>
      <c r="ED19" t="e">
        <f>AND(#REF!,"AAAAAHa5/4U=")</f>
        <v>#REF!</v>
      </c>
      <c r="EE19" t="e">
        <f>AND(#REF!,"AAAAAHa5/4Y=")</f>
        <v>#REF!</v>
      </c>
      <c r="EF19" t="e">
        <f>AND(#REF!,"AAAAAHa5/4c=")</f>
        <v>#REF!</v>
      </c>
      <c r="EG19" t="e">
        <f>AND(#REF!,"AAAAAHa5/4g=")</f>
        <v>#REF!</v>
      </c>
      <c r="EH19" t="e">
        <f>IF(#REF!,"AAAAAHa5/4k=",0)</f>
        <v>#REF!</v>
      </c>
      <c r="EI19" t="e">
        <f>AND(#REF!,"AAAAAHa5/4o=")</f>
        <v>#REF!</v>
      </c>
      <c r="EJ19" t="e">
        <f>AND(#REF!,"AAAAAHa5/4s=")</f>
        <v>#REF!</v>
      </c>
      <c r="EK19" t="e">
        <f>AND(#REF!,"AAAAAHa5/4w=")</f>
        <v>#REF!</v>
      </c>
      <c r="EL19" t="e">
        <f>AND(#REF!,"AAAAAHa5/40=")</f>
        <v>#REF!</v>
      </c>
      <c r="EM19" t="e">
        <f>AND(#REF!,"AAAAAHa5/44=")</f>
        <v>#REF!</v>
      </c>
      <c r="EN19" t="e">
        <f>AND(#REF!,"AAAAAHa5/48=")</f>
        <v>#REF!</v>
      </c>
      <c r="EO19" t="e">
        <f>AND(#REF!,"AAAAAHa5/5A=")</f>
        <v>#REF!</v>
      </c>
      <c r="EP19" t="e">
        <f>AND(#REF!,"AAAAAHa5/5E=")</f>
        <v>#REF!</v>
      </c>
      <c r="EQ19" t="e">
        <f>IF(#REF!,"AAAAAHa5/5I=",0)</f>
        <v>#REF!</v>
      </c>
      <c r="ER19" t="e">
        <f>AND(#REF!,"AAAAAHa5/5M=")</f>
        <v>#REF!</v>
      </c>
      <c r="ES19" t="e">
        <f>AND(#REF!,"AAAAAHa5/5Q=")</f>
        <v>#REF!</v>
      </c>
      <c r="ET19" t="e">
        <f>AND(#REF!,"AAAAAHa5/5U=")</f>
        <v>#REF!</v>
      </c>
      <c r="EU19" t="e">
        <f>AND(#REF!,"AAAAAHa5/5Y=")</f>
        <v>#REF!</v>
      </c>
      <c r="EV19" t="e">
        <f>AND(#REF!,"AAAAAHa5/5c=")</f>
        <v>#REF!</v>
      </c>
      <c r="EW19" t="e">
        <f>AND(#REF!,"AAAAAHa5/5g=")</f>
        <v>#REF!</v>
      </c>
      <c r="EX19" t="e">
        <f>AND(#REF!,"AAAAAHa5/5k=")</f>
        <v>#REF!</v>
      </c>
      <c r="EY19" t="e">
        <f>AND(#REF!,"AAAAAHa5/5o=")</f>
        <v>#REF!</v>
      </c>
      <c r="EZ19" t="e">
        <f>IF(#REF!,"AAAAAHa5/5s=",0)</f>
        <v>#REF!</v>
      </c>
      <c r="FA19" t="e">
        <f>AND(#REF!,"AAAAAHa5/5w=")</f>
        <v>#REF!</v>
      </c>
      <c r="FB19" t="e">
        <f>AND(#REF!,"AAAAAHa5/50=")</f>
        <v>#REF!</v>
      </c>
      <c r="FC19" t="e">
        <f>AND(#REF!,"AAAAAHa5/54=")</f>
        <v>#REF!</v>
      </c>
      <c r="FD19" t="e">
        <f>AND(#REF!,"AAAAAHa5/58=")</f>
        <v>#REF!</v>
      </c>
      <c r="FE19" t="e">
        <f>AND(#REF!,"AAAAAHa5/6A=")</f>
        <v>#REF!</v>
      </c>
      <c r="FF19" t="e">
        <f>AND(#REF!,"AAAAAHa5/6E=")</f>
        <v>#REF!</v>
      </c>
      <c r="FG19" t="e">
        <f>AND(#REF!,"AAAAAHa5/6I=")</f>
        <v>#REF!</v>
      </c>
      <c r="FH19" t="e">
        <f>AND(#REF!,"AAAAAHa5/6M=")</f>
        <v>#REF!</v>
      </c>
      <c r="FI19" t="e">
        <f>IF(#REF!,"AAAAAHa5/6Q=",0)</f>
        <v>#REF!</v>
      </c>
      <c r="FJ19" t="e">
        <f>AND(#REF!,"AAAAAHa5/6U=")</f>
        <v>#REF!</v>
      </c>
      <c r="FK19" t="e">
        <f>AND(#REF!,"AAAAAHa5/6Y=")</f>
        <v>#REF!</v>
      </c>
      <c r="FL19" t="e">
        <f>AND(#REF!,"AAAAAHa5/6c=")</f>
        <v>#REF!</v>
      </c>
      <c r="FM19" t="e">
        <f>AND(#REF!,"AAAAAHa5/6g=")</f>
        <v>#REF!</v>
      </c>
      <c r="FN19" t="e">
        <f>AND(#REF!,"AAAAAHa5/6k=")</f>
        <v>#REF!</v>
      </c>
      <c r="FO19" t="e">
        <f>AND(#REF!,"AAAAAHa5/6o=")</f>
        <v>#REF!</v>
      </c>
      <c r="FP19" t="e">
        <f>AND(#REF!,"AAAAAHa5/6s=")</f>
        <v>#REF!</v>
      </c>
      <c r="FQ19" t="e">
        <f>AND(#REF!,"AAAAAHa5/6w=")</f>
        <v>#REF!</v>
      </c>
      <c r="FR19" t="e">
        <f>IF(#REF!,"AAAAAHa5/60=",0)</f>
        <v>#REF!</v>
      </c>
      <c r="FS19" t="e">
        <f>AND(#REF!,"AAAAAHa5/64=")</f>
        <v>#REF!</v>
      </c>
      <c r="FT19" t="e">
        <f>AND(#REF!,"AAAAAHa5/68=")</f>
        <v>#REF!</v>
      </c>
      <c r="FU19" t="e">
        <f>AND(#REF!,"AAAAAHa5/7A=")</f>
        <v>#REF!</v>
      </c>
      <c r="FV19" t="e">
        <f>AND(#REF!,"AAAAAHa5/7E=")</f>
        <v>#REF!</v>
      </c>
      <c r="FW19" t="e">
        <f>AND(#REF!,"AAAAAHa5/7I=")</f>
        <v>#REF!</v>
      </c>
      <c r="FX19" t="e">
        <f>AND(#REF!,"AAAAAHa5/7M=")</f>
        <v>#REF!</v>
      </c>
      <c r="FY19" t="e">
        <f>AND(#REF!,"AAAAAHa5/7Q=")</f>
        <v>#REF!</v>
      </c>
      <c r="FZ19" t="e">
        <f>AND(#REF!,"AAAAAHa5/7U=")</f>
        <v>#REF!</v>
      </c>
      <c r="GA19" t="e">
        <f>IF(#REF!,"AAAAAHa5/7Y=",0)</f>
        <v>#REF!</v>
      </c>
      <c r="GB19" t="e">
        <f>AND(#REF!,"AAAAAHa5/7c=")</f>
        <v>#REF!</v>
      </c>
      <c r="GC19" t="e">
        <f>AND(#REF!,"AAAAAHa5/7g=")</f>
        <v>#REF!</v>
      </c>
      <c r="GD19" t="e">
        <f>AND(#REF!,"AAAAAHa5/7k=")</f>
        <v>#REF!</v>
      </c>
      <c r="GE19" t="e">
        <f>AND(#REF!,"AAAAAHa5/7o=")</f>
        <v>#REF!</v>
      </c>
      <c r="GF19" t="e">
        <f>AND(#REF!,"AAAAAHa5/7s=")</f>
        <v>#REF!</v>
      </c>
      <c r="GG19" t="e">
        <f>AND(#REF!,"AAAAAHa5/7w=")</f>
        <v>#REF!</v>
      </c>
      <c r="GH19" t="e">
        <f>AND(#REF!,"AAAAAHa5/70=")</f>
        <v>#REF!</v>
      </c>
      <c r="GI19" t="e">
        <f>AND(#REF!,"AAAAAHa5/74=")</f>
        <v>#REF!</v>
      </c>
      <c r="GJ19" t="e">
        <f>IF(#REF!,"AAAAAHa5/78=",0)</f>
        <v>#REF!</v>
      </c>
      <c r="GK19" t="e">
        <f>AND(#REF!,"AAAAAHa5/8A=")</f>
        <v>#REF!</v>
      </c>
      <c r="GL19" t="e">
        <f>AND(#REF!,"AAAAAHa5/8E=")</f>
        <v>#REF!</v>
      </c>
      <c r="GM19" t="e">
        <f>AND(#REF!,"AAAAAHa5/8I=")</f>
        <v>#REF!</v>
      </c>
      <c r="GN19" t="e">
        <f>AND(#REF!,"AAAAAHa5/8M=")</f>
        <v>#REF!</v>
      </c>
      <c r="GO19" t="e">
        <f>AND(#REF!,"AAAAAHa5/8Q=")</f>
        <v>#REF!</v>
      </c>
      <c r="GP19" t="e">
        <f>AND(#REF!,"AAAAAHa5/8U=")</f>
        <v>#REF!</v>
      </c>
      <c r="GQ19" t="e">
        <f>AND(#REF!,"AAAAAHa5/8Y=")</f>
        <v>#REF!</v>
      </c>
      <c r="GR19" t="e">
        <f>AND(#REF!,"AAAAAHa5/8c=")</f>
        <v>#REF!</v>
      </c>
      <c r="GS19" t="e">
        <f>IF(#REF!,"AAAAAHa5/8g=",0)</f>
        <v>#REF!</v>
      </c>
      <c r="GT19" t="e">
        <f>AND(#REF!,"AAAAAHa5/8k=")</f>
        <v>#REF!</v>
      </c>
      <c r="GU19" t="e">
        <f>AND(#REF!,"AAAAAHa5/8o=")</f>
        <v>#REF!</v>
      </c>
      <c r="GV19" t="e">
        <f>AND(#REF!,"AAAAAHa5/8s=")</f>
        <v>#REF!</v>
      </c>
      <c r="GW19" t="e">
        <f>AND(#REF!,"AAAAAHa5/8w=")</f>
        <v>#REF!</v>
      </c>
      <c r="GX19" t="e">
        <f>AND(#REF!,"AAAAAHa5/80=")</f>
        <v>#REF!</v>
      </c>
      <c r="GY19" t="e">
        <f>AND(#REF!,"AAAAAHa5/84=")</f>
        <v>#REF!</v>
      </c>
      <c r="GZ19" t="e">
        <f>AND(#REF!,"AAAAAHa5/88=")</f>
        <v>#REF!</v>
      </c>
      <c r="HA19" t="e">
        <f>AND(#REF!,"AAAAAHa5/9A=")</f>
        <v>#REF!</v>
      </c>
      <c r="HB19" t="e">
        <f>IF(#REF!,"AAAAAHa5/9E=",0)</f>
        <v>#REF!</v>
      </c>
      <c r="HC19" t="e">
        <f>AND(#REF!,"AAAAAHa5/9I=")</f>
        <v>#REF!</v>
      </c>
      <c r="HD19" t="e">
        <f>AND(#REF!,"AAAAAHa5/9M=")</f>
        <v>#REF!</v>
      </c>
      <c r="HE19" t="e">
        <f>AND(#REF!,"AAAAAHa5/9Q=")</f>
        <v>#REF!</v>
      </c>
      <c r="HF19" t="e">
        <f>AND(#REF!,"AAAAAHa5/9U=")</f>
        <v>#REF!</v>
      </c>
      <c r="HG19" t="e">
        <f>AND(#REF!,"AAAAAHa5/9Y=")</f>
        <v>#REF!</v>
      </c>
      <c r="HH19" t="e">
        <f>AND(#REF!,"AAAAAHa5/9c=")</f>
        <v>#REF!</v>
      </c>
      <c r="HI19" t="e">
        <f>AND(#REF!,"AAAAAHa5/9g=")</f>
        <v>#REF!</v>
      </c>
      <c r="HJ19" t="e">
        <f>AND(#REF!,"AAAAAHa5/9k=")</f>
        <v>#REF!</v>
      </c>
      <c r="HK19" t="e">
        <f>IF(#REF!,"AAAAAHa5/9o=",0)</f>
        <v>#REF!</v>
      </c>
      <c r="HL19" t="e">
        <f>AND(#REF!,"AAAAAHa5/9s=")</f>
        <v>#REF!</v>
      </c>
      <c r="HM19" t="e">
        <f>AND(#REF!,"AAAAAHa5/9w=")</f>
        <v>#REF!</v>
      </c>
      <c r="HN19" t="e">
        <f>AND(#REF!,"AAAAAHa5/90=")</f>
        <v>#REF!</v>
      </c>
      <c r="HO19" t="e">
        <f>AND(#REF!,"AAAAAHa5/94=")</f>
        <v>#REF!</v>
      </c>
      <c r="HP19" t="e">
        <f>AND(#REF!,"AAAAAHa5/98=")</f>
        <v>#REF!</v>
      </c>
      <c r="HQ19" t="e">
        <f>AND(#REF!,"AAAAAHa5/+A=")</f>
        <v>#REF!</v>
      </c>
      <c r="HR19" t="e">
        <f>AND(#REF!,"AAAAAHa5/+E=")</f>
        <v>#REF!</v>
      </c>
      <c r="HS19" t="e">
        <f>AND(#REF!,"AAAAAHa5/+I=")</f>
        <v>#REF!</v>
      </c>
      <c r="HT19" t="e">
        <f>IF(#REF!,"AAAAAHa5/+M=",0)</f>
        <v>#REF!</v>
      </c>
      <c r="HU19" t="e">
        <f>AND(#REF!,"AAAAAHa5/+Q=")</f>
        <v>#REF!</v>
      </c>
      <c r="HV19" t="e">
        <f>AND(#REF!,"AAAAAHa5/+U=")</f>
        <v>#REF!</v>
      </c>
      <c r="HW19" t="e">
        <f>AND(#REF!,"AAAAAHa5/+Y=")</f>
        <v>#REF!</v>
      </c>
      <c r="HX19" t="e">
        <f>AND(#REF!,"AAAAAHa5/+c=")</f>
        <v>#REF!</v>
      </c>
      <c r="HY19" t="e">
        <f>AND(#REF!,"AAAAAHa5/+g=")</f>
        <v>#REF!</v>
      </c>
      <c r="HZ19" t="e">
        <f>AND(#REF!,"AAAAAHa5/+k=")</f>
        <v>#REF!</v>
      </c>
      <c r="IA19" t="e">
        <f>AND(#REF!,"AAAAAHa5/+o=")</f>
        <v>#REF!</v>
      </c>
      <c r="IB19" t="e">
        <f>AND(#REF!,"AAAAAHa5/+s=")</f>
        <v>#REF!</v>
      </c>
      <c r="IC19" t="e">
        <f>IF(#REF!,"AAAAAHa5/+w=",0)</f>
        <v>#REF!</v>
      </c>
      <c r="ID19" t="e">
        <f>AND(#REF!,"AAAAAHa5/+0=")</f>
        <v>#REF!</v>
      </c>
      <c r="IE19" t="e">
        <f>AND(#REF!,"AAAAAHa5/+4=")</f>
        <v>#REF!</v>
      </c>
      <c r="IF19" t="e">
        <f>AND(#REF!,"AAAAAHa5/+8=")</f>
        <v>#REF!</v>
      </c>
      <c r="IG19" t="e">
        <f>AND(#REF!,"AAAAAHa5//A=")</f>
        <v>#REF!</v>
      </c>
      <c r="IH19" t="e">
        <f>AND(#REF!,"AAAAAHa5//E=")</f>
        <v>#REF!</v>
      </c>
      <c r="II19" t="e">
        <f>AND(#REF!,"AAAAAHa5//I=")</f>
        <v>#REF!</v>
      </c>
      <c r="IJ19" t="e">
        <f>AND(#REF!,"AAAAAHa5//M=")</f>
        <v>#REF!</v>
      </c>
      <c r="IK19" t="e">
        <f>AND(#REF!,"AAAAAHa5//Q=")</f>
        <v>#REF!</v>
      </c>
      <c r="IL19" t="e">
        <f>IF(#REF!,"AAAAAHa5//U=",0)</f>
        <v>#REF!</v>
      </c>
      <c r="IM19" t="e">
        <f>AND(#REF!,"AAAAAHa5//Y=")</f>
        <v>#REF!</v>
      </c>
      <c r="IN19" t="e">
        <f>AND(#REF!,"AAAAAHa5//c=")</f>
        <v>#REF!</v>
      </c>
      <c r="IO19" t="e">
        <f>AND(#REF!,"AAAAAHa5//g=")</f>
        <v>#REF!</v>
      </c>
      <c r="IP19" t="e">
        <f>AND(#REF!,"AAAAAHa5//k=")</f>
        <v>#REF!</v>
      </c>
      <c r="IQ19" t="e">
        <f>AND(#REF!,"AAAAAHa5//o=")</f>
        <v>#REF!</v>
      </c>
      <c r="IR19" t="e">
        <f>AND(#REF!,"AAAAAHa5//s=")</f>
        <v>#REF!</v>
      </c>
      <c r="IS19" t="e">
        <f>AND(#REF!,"AAAAAHa5//w=")</f>
        <v>#REF!</v>
      </c>
      <c r="IT19" t="e">
        <f>AND(#REF!,"AAAAAHa5//0=")</f>
        <v>#REF!</v>
      </c>
      <c r="IU19" t="e">
        <f>IF(#REF!,"AAAAAHa5//4=",0)</f>
        <v>#REF!</v>
      </c>
      <c r="IV19" t="e">
        <f>AND(#REF!,"AAAAAHa5//8=")</f>
        <v>#REF!</v>
      </c>
    </row>
    <row r="20" spans="1:256" x14ac:dyDescent="0.35">
      <c r="A20" t="e">
        <f>AND(#REF!,"AAAAAF+v7wA=")</f>
        <v>#REF!</v>
      </c>
      <c r="B20" t="e">
        <f>AND(#REF!,"AAAAAF+v7wE=")</f>
        <v>#REF!</v>
      </c>
      <c r="C20" t="e">
        <f>AND(#REF!,"AAAAAF+v7wI=")</f>
        <v>#REF!</v>
      </c>
      <c r="D20" t="e">
        <f>AND(#REF!,"AAAAAF+v7wM=")</f>
        <v>#REF!</v>
      </c>
      <c r="E20" t="e">
        <f>AND(#REF!,"AAAAAF+v7wQ=")</f>
        <v>#REF!</v>
      </c>
      <c r="F20" t="e">
        <f>AND(#REF!,"AAAAAF+v7wU=")</f>
        <v>#REF!</v>
      </c>
      <c r="G20" t="e">
        <f>AND(#REF!,"AAAAAF+v7wY=")</f>
        <v>#REF!</v>
      </c>
      <c r="H20" t="e">
        <f>IF(#REF!,"AAAAAF+v7wc=",0)</f>
        <v>#REF!</v>
      </c>
      <c r="I20" t="e">
        <f>AND(#REF!,"AAAAAF+v7wg=")</f>
        <v>#REF!</v>
      </c>
      <c r="J20" t="e">
        <f>AND(#REF!,"AAAAAF+v7wk=")</f>
        <v>#REF!</v>
      </c>
      <c r="K20" t="e">
        <f>AND(#REF!,"AAAAAF+v7wo=")</f>
        <v>#REF!</v>
      </c>
      <c r="L20" t="e">
        <f>AND(#REF!,"AAAAAF+v7ws=")</f>
        <v>#REF!</v>
      </c>
      <c r="M20" t="e">
        <f>AND(#REF!,"AAAAAF+v7ww=")</f>
        <v>#REF!</v>
      </c>
      <c r="N20" t="e">
        <f>AND(#REF!,"AAAAAF+v7w0=")</f>
        <v>#REF!</v>
      </c>
      <c r="O20" t="e">
        <f>AND(#REF!,"AAAAAF+v7w4=")</f>
        <v>#REF!</v>
      </c>
      <c r="P20" t="e">
        <f>AND(#REF!,"AAAAAF+v7w8=")</f>
        <v>#REF!</v>
      </c>
      <c r="Q20" t="e">
        <f>IF(#REF!,"AAAAAF+v7xA=",0)</f>
        <v>#REF!</v>
      </c>
      <c r="R20" t="e">
        <f>AND(#REF!,"AAAAAF+v7xE=")</f>
        <v>#REF!</v>
      </c>
      <c r="S20" t="e">
        <f>AND(#REF!,"AAAAAF+v7xI=")</f>
        <v>#REF!</v>
      </c>
      <c r="T20" t="e">
        <f>AND(#REF!,"AAAAAF+v7xM=")</f>
        <v>#REF!</v>
      </c>
      <c r="U20" t="e">
        <f>AND(#REF!,"AAAAAF+v7xQ=")</f>
        <v>#REF!</v>
      </c>
      <c r="V20" t="e">
        <f>AND(#REF!,"AAAAAF+v7xU=")</f>
        <v>#REF!</v>
      </c>
      <c r="W20" t="e">
        <f>AND(#REF!,"AAAAAF+v7xY=")</f>
        <v>#REF!</v>
      </c>
      <c r="X20" t="e">
        <f>AND(#REF!,"AAAAAF+v7xc=")</f>
        <v>#REF!</v>
      </c>
      <c r="Y20" t="e">
        <f>AND(#REF!,"AAAAAF+v7xg=")</f>
        <v>#REF!</v>
      </c>
      <c r="Z20" t="e">
        <f>IF(#REF!,"AAAAAF+v7xk=",0)</f>
        <v>#REF!</v>
      </c>
      <c r="AA20" t="e">
        <f>AND(#REF!,"AAAAAF+v7xo=")</f>
        <v>#REF!</v>
      </c>
      <c r="AB20" t="e">
        <f>AND(#REF!,"AAAAAF+v7xs=")</f>
        <v>#REF!</v>
      </c>
      <c r="AC20" t="e">
        <f>AND(#REF!,"AAAAAF+v7xw=")</f>
        <v>#REF!</v>
      </c>
      <c r="AD20" t="e">
        <f>AND(#REF!,"AAAAAF+v7x0=")</f>
        <v>#REF!</v>
      </c>
      <c r="AE20" t="e">
        <f>AND(#REF!,"AAAAAF+v7x4=")</f>
        <v>#REF!</v>
      </c>
      <c r="AF20" t="e">
        <f>AND(#REF!,"AAAAAF+v7x8=")</f>
        <v>#REF!</v>
      </c>
      <c r="AG20" t="e">
        <f>AND(#REF!,"AAAAAF+v7yA=")</f>
        <v>#REF!</v>
      </c>
      <c r="AH20" t="e">
        <f>AND(#REF!,"AAAAAF+v7yE=")</f>
        <v>#REF!</v>
      </c>
      <c r="AI20" t="e">
        <f>IF(#REF!,"AAAAAF+v7yI=",0)</f>
        <v>#REF!</v>
      </c>
      <c r="AJ20" t="e">
        <f>IF(#REF!,"AAAAAF+v7yM=",0)</f>
        <v>#REF!</v>
      </c>
      <c r="AK20" t="e">
        <f>IF(#REF!,"AAAAAF+v7yQ=",0)</f>
        <v>#REF!</v>
      </c>
      <c r="AL20" t="e">
        <f>IF(#REF!,"AAAAAF+v7yU=",0)</f>
        <v>#REF!</v>
      </c>
      <c r="AM20" t="e">
        <f>IF(#REF!,"AAAAAF+v7yY=",0)</f>
        <v>#REF!</v>
      </c>
      <c r="AN20" t="e">
        <f>IF(#REF!,"AAAAAF+v7yc=",0)</f>
        <v>#REF!</v>
      </c>
      <c r="AO20" t="e">
        <f>IF(#REF!,"AAAAAF+v7yg=",0)</f>
        <v>#REF!</v>
      </c>
      <c r="AP20" t="e">
        <f>IF(#REF!,"AAAAAF+v7yk=",0)</f>
        <v>#REF!</v>
      </c>
      <c r="AQ20" t="e">
        <f>IF(#REF!,"AAAAAF+v7yo=",0)</f>
        <v>#REF!</v>
      </c>
      <c r="AR20" t="e">
        <f>IF(#REF!,"AAAAAF+v7ys=",0)</f>
        <v>#REF!</v>
      </c>
      <c r="AS20" t="e">
        <f>IF(#REF!,"AAAAAF+v7yw=",0)</f>
        <v>#REF!</v>
      </c>
      <c r="AT20" t="e">
        <f>IF(#REF!,"AAAAAF+v7y0=",0)</f>
        <v>#REF!</v>
      </c>
      <c r="AU20" t="e">
        <f>IF(#REF!,"AAAAAF+v7y4=",0)</f>
        <v>#REF!</v>
      </c>
      <c r="AV20" t="e">
        <f>IF(#REF!,"AAAAAF+v7y8=",0)</f>
        <v>#REF!</v>
      </c>
      <c r="AW20" t="e">
        <f>AND(#REF!,"AAAAAF+v7zA=")</f>
        <v>#REF!</v>
      </c>
      <c r="AX20" t="e">
        <f>AND(#REF!,"AAAAAF+v7zE=")</f>
        <v>#REF!</v>
      </c>
      <c r="AY20" t="e">
        <f>AND(#REF!,"AAAAAF+v7zI=")</f>
        <v>#REF!</v>
      </c>
      <c r="AZ20" t="e">
        <f>AND(#REF!,"AAAAAF+v7zM=")</f>
        <v>#REF!</v>
      </c>
      <c r="BA20" t="e">
        <f>AND(#REF!,"AAAAAF+v7zQ=")</f>
        <v>#REF!</v>
      </c>
      <c r="BB20" t="e">
        <f>AND(#REF!,"AAAAAF+v7zU=")</f>
        <v>#REF!</v>
      </c>
      <c r="BC20" t="e">
        <f>AND(#REF!,"AAAAAF+v7zY=")</f>
        <v>#REF!</v>
      </c>
      <c r="BD20" t="e">
        <f>AND(#REF!,"AAAAAF+v7zc=")</f>
        <v>#REF!</v>
      </c>
      <c r="BE20" t="e">
        <f>AND(#REF!,"AAAAAF+v7zg=")</f>
        <v>#REF!</v>
      </c>
      <c r="BF20" t="e">
        <f>AND(#REF!,"AAAAAF+v7zk=")</f>
        <v>#REF!</v>
      </c>
      <c r="BG20" t="e">
        <f>AND(#REF!,"AAAAAF+v7zo=")</f>
        <v>#REF!</v>
      </c>
      <c r="BH20" t="e">
        <f>AND(#REF!,"AAAAAF+v7zs=")</f>
        <v>#REF!</v>
      </c>
      <c r="BI20" t="e">
        <f>AND(#REF!,"AAAAAF+v7zw=")</f>
        <v>#REF!</v>
      </c>
      <c r="BJ20" t="e">
        <f>IF(#REF!,"AAAAAF+v7z0=",0)</f>
        <v>#REF!</v>
      </c>
      <c r="BK20" t="e">
        <f>AND(#REF!,"AAAAAF+v7z4=")</f>
        <v>#REF!</v>
      </c>
      <c r="BL20" t="e">
        <f>AND(#REF!,"AAAAAF+v7z8=")</f>
        <v>#REF!</v>
      </c>
      <c r="BM20" t="e">
        <f>AND(#REF!,"AAAAAF+v70A=")</f>
        <v>#REF!</v>
      </c>
      <c r="BN20" t="e">
        <f>AND(#REF!,"AAAAAF+v70E=")</f>
        <v>#REF!</v>
      </c>
      <c r="BO20" t="e">
        <f>AND(#REF!,"AAAAAF+v70I=")</f>
        <v>#REF!</v>
      </c>
      <c r="BP20" t="e">
        <f>AND(#REF!,"AAAAAF+v70M=")</f>
        <v>#REF!</v>
      </c>
      <c r="BQ20" t="e">
        <f>AND(#REF!,"AAAAAF+v70Q=")</f>
        <v>#REF!</v>
      </c>
      <c r="BR20" t="e">
        <f>AND(#REF!,"AAAAAF+v70U=")</f>
        <v>#REF!</v>
      </c>
      <c r="BS20" t="e">
        <f>AND(#REF!,"AAAAAF+v70Y=")</f>
        <v>#REF!</v>
      </c>
      <c r="BT20" t="e">
        <f>AND(#REF!,"AAAAAF+v70c=")</f>
        <v>#REF!</v>
      </c>
      <c r="BU20" t="e">
        <f>AND(#REF!,"AAAAAF+v70g=")</f>
        <v>#REF!</v>
      </c>
      <c r="BV20" t="e">
        <f>AND(#REF!,"AAAAAF+v70k=")</f>
        <v>#REF!</v>
      </c>
      <c r="BW20" t="e">
        <f>AND(#REF!,"AAAAAF+v70o=")</f>
        <v>#REF!</v>
      </c>
      <c r="BX20" t="e">
        <f>IF(#REF!,"AAAAAF+v70s=",0)</f>
        <v>#REF!</v>
      </c>
      <c r="BY20" t="e">
        <f>AND(#REF!,"AAAAAF+v70w=")</f>
        <v>#REF!</v>
      </c>
      <c r="BZ20" t="e">
        <f>AND(#REF!,"AAAAAF+v700=")</f>
        <v>#REF!</v>
      </c>
      <c r="CA20" t="e">
        <f>AND(#REF!,"AAAAAF+v704=")</f>
        <v>#REF!</v>
      </c>
      <c r="CB20" t="e">
        <f>AND(#REF!,"AAAAAF+v708=")</f>
        <v>#REF!</v>
      </c>
      <c r="CC20" t="e">
        <f>AND(#REF!,"AAAAAF+v71A=")</f>
        <v>#REF!</v>
      </c>
      <c r="CD20" t="e">
        <f>AND(#REF!,"AAAAAF+v71E=")</f>
        <v>#REF!</v>
      </c>
      <c r="CE20" t="e">
        <f>AND(#REF!,"AAAAAF+v71I=")</f>
        <v>#REF!</v>
      </c>
      <c r="CF20" t="e">
        <f>AND(#REF!,"AAAAAF+v71M=")</f>
        <v>#REF!</v>
      </c>
      <c r="CG20" t="e">
        <f>AND(#REF!,"AAAAAF+v71Q=")</f>
        <v>#REF!</v>
      </c>
      <c r="CH20" t="e">
        <f>AND(#REF!,"AAAAAF+v71U=")</f>
        <v>#REF!</v>
      </c>
      <c r="CI20" t="e">
        <f>AND(#REF!,"AAAAAF+v71Y=")</f>
        <v>#REF!</v>
      </c>
      <c r="CJ20" t="e">
        <f>AND(#REF!,"AAAAAF+v71c=")</f>
        <v>#REF!</v>
      </c>
      <c r="CK20" t="e">
        <f>AND(#REF!,"AAAAAF+v71g=")</f>
        <v>#REF!</v>
      </c>
      <c r="CL20" t="e">
        <f>IF(#REF!,"AAAAAF+v71k=",0)</f>
        <v>#REF!</v>
      </c>
      <c r="CM20" t="e">
        <f>AND(#REF!,"AAAAAF+v71o=")</f>
        <v>#REF!</v>
      </c>
      <c r="CN20" t="e">
        <f>AND(#REF!,"AAAAAF+v71s=")</f>
        <v>#REF!</v>
      </c>
      <c r="CO20" t="e">
        <f>AND(#REF!,"AAAAAF+v71w=")</f>
        <v>#REF!</v>
      </c>
      <c r="CP20" t="e">
        <f>AND(#REF!,"AAAAAF+v710=")</f>
        <v>#REF!</v>
      </c>
      <c r="CQ20" t="e">
        <f>AND(#REF!,"AAAAAF+v714=")</f>
        <v>#REF!</v>
      </c>
      <c r="CR20" t="e">
        <f>AND(#REF!,"AAAAAF+v718=")</f>
        <v>#REF!</v>
      </c>
      <c r="CS20" t="e">
        <f>AND(#REF!,"AAAAAF+v72A=")</f>
        <v>#REF!</v>
      </c>
      <c r="CT20" t="e">
        <f>AND(#REF!,"AAAAAF+v72E=")</f>
        <v>#REF!</v>
      </c>
      <c r="CU20" t="e">
        <f>AND(#REF!,"AAAAAF+v72I=")</f>
        <v>#REF!</v>
      </c>
      <c r="CV20" t="e">
        <f>AND(#REF!,"AAAAAF+v72M=")</f>
        <v>#REF!</v>
      </c>
      <c r="CW20" t="e">
        <f>AND(#REF!,"AAAAAF+v72Q=")</f>
        <v>#REF!</v>
      </c>
      <c r="CX20" t="e">
        <f>AND(#REF!,"AAAAAF+v72U=")</f>
        <v>#REF!</v>
      </c>
      <c r="CY20" t="e">
        <f>AND(#REF!,"AAAAAF+v72Y=")</f>
        <v>#REF!</v>
      </c>
      <c r="CZ20" t="e">
        <f>IF(#REF!,"AAAAAF+v72c=",0)</f>
        <v>#REF!</v>
      </c>
      <c r="DA20" t="e">
        <f>AND(#REF!,"AAAAAF+v72g=")</f>
        <v>#REF!</v>
      </c>
      <c r="DB20" t="e">
        <f>AND(#REF!,"AAAAAF+v72k=")</f>
        <v>#REF!</v>
      </c>
      <c r="DC20" t="e">
        <f>AND(#REF!,"AAAAAF+v72o=")</f>
        <v>#REF!</v>
      </c>
      <c r="DD20" t="e">
        <f>AND(#REF!,"AAAAAF+v72s=")</f>
        <v>#REF!</v>
      </c>
      <c r="DE20" t="e">
        <f>AND(#REF!,"AAAAAF+v72w=")</f>
        <v>#REF!</v>
      </c>
      <c r="DF20" t="e">
        <f>AND(#REF!,"AAAAAF+v720=")</f>
        <v>#REF!</v>
      </c>
      <c r="DG20" t="e">
        <f>AND(#REF!,"AAAAAF+v724=")</f>
        <v>#REF!</v>
      </c>
      <c r="DH20" t="e">
        <f>AND(#REF!,"AAAAAF+v728=")</f>
        <v>#REF!</v>
      </c>
      <c r="DI20" t="e">
        <f>AND(#REF!,"AAAAAF+v73A=")</f>
        <v>#REF!</v>
      </c>
      <c r="DJ20" t="e">
        <f>AND(#REF!,"AAAAAF+v73E=")</f>
        <v>#REF!</v>
      </c>
      <c r="DK20" t="e">
        <f>AND(#REF!,"AAAAAF+v73I=")</f>
        <v>#REF!</v>
      </c>
      <c r="DL20" t="e">
        <f>AND(#REF!,"AAAAAF+v73M=")</f>
        <v>#REF!</v>
      </c>
      <c r="DM20" t="e">
        <f>AND(#REF!,"AAAAAF+v73Q=")</f>
        <v>#REF!</v>
      </c>
      <c r="DN20" t="e">
        <f>IF(#REF!,"AAAAAF+v73U=",0)</f>
        <v>#REF!</v>
      </c>
      <c r="DO20" t="e">
        <f>AND(#REF!,"AAAAAF+v73Y=")</f>
        <v>#REF!</v>
      </c>
      <c r="DP20" t="e">
        <f>AND(#REF!,"AAAAAF+v73c=")</f>
        <v>#REF!</v>
      </c>
      <c r="DQ20" t="e">
        <f>AND(#REF!,"AAAAAF+v73g=")</f>
        <v>#REF!</v>
      </c>
      <c r="DR20" t="e">
        <f>AND(#REF!,"AAAAAF+v73k=")</f>
        <v>#REF!</v>
      </c>
      <c r="DS20" t="e">
        <f>AND(#REF!,"AAAAAF+v73o=")</f>
        <v>#REF!</v>
      </c>
      <c r="DT20" t="e">
        <f>AND(#REF!,"AAAAAF+v73s=")</f>
        <v>#REF!</v>
      </c>
      <c r="DU20" t="e">
        <f>AND(#REF!,"AAAAAF+v73w=")</f>
        <v>#REF!</v>
      </c>
      <c r="DV20" t="e">
        <f>AND(#REF!,"AAAAAF+v730=")</f>
        <v>#REF!</v>
      </c>
      <c r="DW20" t="e">
        <f>AND(#REF!,"AAAAAF+v734=")</f>
        <v>#REF!</v>
      </c>
      <c r="DX20" t="e">
        <f>AND(#REF!,"AAAAAF+v738=")</f>
        <v>#REF!</v>
      </c>
      <c r="DY20" t="e">
        <f>AND(#REF!,"AAAAAF+v74A=")</f>
        <v>#REF!</v>
      </c>
      <c r="DZ20" t="e">
        <f>AND(#REF!,"AAAAAF+v74E=")</f>
        <v>#REF!</v>
      </c>
      <c r="EA20" t="e">
        <f>AND(#REF!,"AAAAAF+v74I=")</f>
        <v>#REF!</v>
      </c>
      <c r="EB20" t="e">
        <f>IF(#REF!,"AAAAAF+v74M=",0)</f>
        <v>#REF!</v>
      </c>
      <c r="EC20" t="e">
        <f>AND(#REF!,"AAAAAF+v74Q=")</f>
        <v>#REF!</v>
      </c>
      <c r="ED20" t="e">
        <f>AND(#REF!,"AAAAAF+v74U=")</f>
        <v>#REF!</v>
      </c>
      <c r="EE20" t="e">
        <f>AND(#REF!,"AAAAAF+v74Y=")</f>
        <v>#REF!</v>
      </c>
      <c r="EF20" t="e">
        <f>AND(#REF!,"AAAAAF+v74c=")</f>
        <v>#REF!</v>
      </c>
      <c r="EG20" t="e">
        <f>AND(#REF!,"AAAAAF+v74g=")</f>
        <v>#REF!</v>
      </c>
      <c r="EH20" t="e">
        <f>AND(#REF!,"AAAAAF+v74k=")</f>
        <v>#REF!</v>
      </c>
      <c r="EI20" t="e">
        <f>AND(#REF!,"AAAAAF+v74o=")</f>
        <v>#REF!</v>
      </c>
      <c r="EJ20" t="e">
        <f>AND(#REF!,"AAAAAF+v74s=")</f>
        <v>#REF!</v>
      </c>
      <c r="EK20" t="e">
        <f>AND(#REF!,"AAAAAF+v74w=")</f>
        <v>#REF!</v>
      </c>
      <c r="EL20" t="e">
        <f>AND(#REF!,"AAAAAF+v740=")</f>
        <v>#REF!</v>
      </c>
      <c r="EM20" t="e">
        <f>AND(#REF!,"AAAAAF+v744=")</f>
        <v>#REF!</v>
      </c>
      <c r="EN20" t="e">
        <f>AND(#REF!,"AAAAAF+v748=")</f>
        <v>#REF!</v>
      </c>
      <c r="EO20" t="e">
        <f>AND(#REF!,"AAAAAF+v75A=")</f>
        <v>#REF!</v>
      </c>
      <c r="EP20" t="e">
        <f>IF(#REF!,"AAAAAF+v75E=",0)</f>
        <v>#REF!</v>
      </c>
      <c r="EQ20" t="e">
        <f>AND(#REF!,"AAAAAF+v75I=")</f>
        <v>#REF!</v>
      </c>
      <c r="ER20" t="e">
        <f>AND(#REF!,"AAAAAF+v75M=")</f>
        <v>#REF!</v>
      </c>
      <c r="ES20" t="e">
        <f>AND(#REF!,"AAAAAF+v75Q=")</f>
        <v>#REF!</v>
      </c>
      <c r="ET20" t="e">
        <f>AND(#REF!,"AAAAAF+v75U=")</f>
        <v>#REF!</v>
      </c>
      <c r="EU20" t="e">
        <f>AND(#REF!,"AAAAAF+v75Y=")</f>
        <v>#REF!</v>
      </c>
      <c r="EV20" t="e">
        <f>AND(#REF!,"AAAAAF+v75c=")</f>
        <v>#REF!</v>
      </c>
      <c r="EW20" t="e">
        <f>AND(#REF!,"AAAAAF+v75g=")</f>
        <v>#REF!</v>
      </c>
      <c r="EX20" t="e">
        <f>AND(#REF!,"AAAAAF+v75k=")</f>
        <v>#REF!</v>
      </c>
      <c r="EY20" t="e">
        <f>AND(#REF!,"AAAAAF+v75o=")</f>
        <v>#REF!</v>
      </c>
      <c r="EZ20" t="e">
        <f>AND(#REF!,"AAAAAF+v75s=")</f>
        <v>#REF!</v>
      </c>
      <c r="FA20" t="e">
        <f>AND(#REF!,"AAAAAF+v75w=")</f>
        <v>#REF!</v>
      </c>
      <c r="FB20" t="e">
        <f>AND(#REF!,"AAAAAF+v750=")</f>
        <v>#REF!</v>
      </c>
      <c r="FC20" t="e">
        <f>AND(#REF!,"AAAAAF+v754=")</f>
        <v>#REF!</v>
      </c>
      <c r="FD20" t="e">
        <f>IF(#REF!,"AAAAAF+v758=",0)</f>
        <v>#REF!</v>
      </c>
      <c r="FE20" t="e">
        <f>AND(#REF!,"AAAAAF+v76A=")</f>
        <v>#REF!</v>
      </c>
      <c r="FF20" t="e">
        <f>AND(#REF!,"AAAAAF+v76E=")</f>
        <v>#REF!</v>
      </c>
      <c r="FG20" t="e">
        <f>AND(#REF!,"AAAAAF+v76I=")</f>
        <v>#REF!</v>
      </c>
      <c r="FH20" t="e">
        <f>AND(#REF!,"AAAAAF+v76M=")</f>
        <v>#REF!</v>
      </c>
      <c r="FI20" t="e">
        <f>AND(#REF!,"AAAAAF+v76Q=")</f>
        <v>#REF!</v>
      </c>
      <c r="FJ20" t="e">
        <f>AND(#REF!,"AAAAAF+v76U=")</f>
        <v>#REF!</v>
      </c>
      <c r="FK20" t="e">
        <f>AND(#REF!,"AAAAAF+v76Y=")</f>
        <v>#REF!</v>
      </c>
      <c r="FL20" t="e">
        <f>AND(#REF!,"AAAAAF+v76c=")</f>
        <v>#REF!</v>
      </c>
      <c r="FM20" t="e">
        <f>AND(#REF!,"AAAAAF+v76g=")</f>
        <v>#REF!</v>
      </c>
      <c r="FN20" t="e">
        <f>AND(#REF!,"AAAAAF+v76k=")</f>
        <v>#REF!</v>
      </c>
      <c r="FO20" t="e">
        <f>AND(#REF!,"AAAAAF+v76o=")</f>
        <v>#REF!</v>
      </c>
      <c r="FP20" t="e">
        <f>AND(#REF!,"AAAAAF+v76s=")</f>
        <v>#REF!</v>
      </c>
      <c r="FQ20" t="e">
        <f>AND(#REF!,"AAAAAF+v76w=")</f>
        <v>#REF!</v>
      </c>
      <c r="FR20" t="e">
        <f>IF(#REF!,"AAAAAF+v760=",0)</f>
        <v>#REF!</v>
      </c>
      <c r="FS20" t="e">
        <f>AND(#REF!,"AAAAAF+v764=")</f>
        <v>#REF!</v>
      </c>
      <c r="FT20" t="e">
        <f>AND(#REF!,"AAAAAF+v768=")</f>
        <v>#REF!</v>
      </c>
      <c r="FU20" t="e">
        <f>AND(#REF!,"AAAAAF+v77A=")</f>
        <v>#REF!</v>
      </c>
      <c r="FV20" t="e">
        <f>AND(#REF!,"AAAAAF+v77E=")</f>
        <v>#REF!</v>
      </c>
      <c r="FW20" t="e">
        <f>AND(#REF!,"AAAAAF+v77I=")</f>
        <v>#REF!</v>
      </c>
      <c r="FX20" t="e">
        <f>AND(#REF!,"AAAAAF+v77M=")</f>
        <v>#REF!</v>
      </c>
      <c r="FY20" t="e">
        <f>AND(#REF!,"AAAAAF+v77Q=")</f>
        <v>#REF!</v>
      </c>
      <c r="FZ20" t="e">
        <f>AND(#REF!,"AAAAAF+v77U=")</f>
        <v>#REF!</v>
      </c>
      <c r="GA20" t="e">
        <f>AND(#REF!,"AAAAAF+v77Y=")</f>
        <v>#REF!</v>
      </c>
      <c r="GB20" t="e">
        <f>AND(#REF!,"AAAAAF+v77c=")</f>
        <v>#REF!</v>
      </c>
      <c r="GC20" t="e">
        <f>AND(#REF!,"AAAAAF+v77g=")</f>
        <v>#REF!</v>
      </c>
      <c r="GD20" t="e">
        <f>AND(#REF!,"AAAAAF+v77k=")</f>
        <v>#REF!</v>
      </c>
      <c r="GE20" t="e">
        <f>AND(#REF!,"AAAAAF+v77o=")</f>
        <v>#REF!</v>
      </c>
      <c r="GF20" t="e">
        <f>IF(#REF!,"AAAAAF+v77s=",0)</f>
        <v>#REF!</v>
      </c>
      <c r="GG20" t="e">
        <f>AND(#REF!,"AAAAAF+v77w=")</f>
        <v>#REF!</v>
      </c>
      <c r="GH20" t="e">
        <f>AND(#REF!,"AAAAAF+v770=")</f>
        <v>#REF!</v>
      </c>
      <c r="GI20" t="e">
        <f>AND(#REF!,"AAAAAF+v774=")</f>
        <v>#REF!</v>
      </c>
      <c r="GJ20" t="e">
        <f>AND(#REF!,"AAAAAF+v778=")</f>
        <v>#REF!</v>
      </c>
      <c r="GK20" t="e">
        <f>AND(#REF!,"AAAAAF+v78A=")</f>
        <v>#REF!</v>
      </c>
      <c r="GL20" t="e">
        <f>AND(#REF!,"AAAAAF+v78E=")</f>
        <v>#REF!</v>
      </c>
      <c r="GM20" t="e">
        <f>AND(#REF!,"AAAAAF+v78I=")</f>
        <v>#REF!</v>
      </c>
      <c r="GN20" t="e">
        <f>AND(#REF!,"AAAAAF+v78M=")</f>
        <v>#REF!</v>
      </c>
      <c r="GO20" t="e">
        <f>AND(#REF!,"AAAAAF+v78Q=")</f>
        <v>#REF!</v>
      </c>
      <c r="GP20" t="e">
        <f>AND(#REF!,"AAAAAF+v78U=")</f>
        <v>#REF!</v>
      </c>
      <c r="GQ20" t="e">
        <f>AND(#REF!,"AAAAAF+v78Y=")</f>
        <v>#REF!</v>
      </c>
      <c r="GR20" t="e">
        <f>AND(#REF!,"AAAAAF+v78c=")</f>
        <v>#REF!</v>
      </c>
      <c r="GS20" t="e">
        <f>AND(#REF!,"AAAAAF+v78g=")</f>
        <v>#REF!</v>
      </c>
      <c r="GT20" t="e">
        <f>IF(#REF!,"AAAAAF+v78k=",0)</f>
        <v>#REF!</v>
      </c>
      <c r="GU20" t="e">
        <f>AND(#REF!,"AAAAAF+v78o=")</f>
        <v>#REF!</v>
      </c>
      <c r="GV20" t="e">
        <f>AND(#REF!,"AAAAAF+v78s=")</f>
        <v>#REF!</v>
      </c>
      <c r="GW20" t="e">
        <f>AND(#REF!,"AAAAAF+v78w=")</f>
        <v>#REF!</v>
      </c>
      <c r="GX20" t="e">
        <f>AND(#REF!,"AAAAAF+v780=")</f>
        <v>#REF!</v>
      </c>
      <c r="GY20" t="e">
        <f>AND(#REF!,"AAAAAF+v784=")</f>
        <v>#REF!</v>
      </c>
      <c r="GZ20" t="e">
        <f>AND(#REF!,"AAAAAF+v788=")</f>
        <v>#REF!</v>
      </c>
      <c r="HA20" t="e">
        <f>AND(#REF!,"AAAAAF+v79A=")</f>
        <v>#REF!</v>
      </c>
      <c r="HB20" t="e">
        <f>AND(#REF!,"AAAAAF+v79E=")</f>
        <v>#REF!</v>
      </c>
      <c r="HC20" t="e">
        <f>AND(#REF!,"AAAAAF+v79I=")</f>
        <v>#REF!</v>
      </c>
      <c r="HD20" t="e">
        <f>AND(#REF!,"AAAAAF+v79M=")</f>
        <v>#REF!</v>
      </c>
      <c r="HE20" t="e">
        <f>AND(#REF!,"AAAAAF+v79Q=")</f>
        <v>#REF!</v>
      </c>
      <c r="HF20" t="e">
        <f>AND(#REF!,"AAAAAF+v79U=")</f>
        <v>#REF!</v>
      </c>
      <c r="HG20" t="e">
        <f>AND(#REF!,"AAAAAF+v79Y=")</f>
        <v>#REF!</v>
      </c>
      <c r="HH20" t="e">
        <f>IF(#REF!,"AAAAAF+v79c=",0)</f>
        <v>#REF!</v>
      </c>
      <c r="HI20" t="e">
        <f>AND(#REF!,"AAAAAF+v79g=")</f>
        <v>#REF!</v>
      </c>
      <c r="HJ20" t="e">
        <f>AND(#REF!,"AAAAAF+v79k=")</f>
        <v>#REF!</v>
      </c>
      <c r="HK20" t="e">
        <f>AND(#REF!,"AAAAAF+v79o=")</f>
        <v>#REF!</v>
      </c>
      <c r="HL20" t="e">
        <f>AND(#REF!,"AAAAAF+v79s=")</f>
        <v>#REF!</v>
      </c>
      <c r="HM20" t="e">
        <f>AND(#REF!,"AAAAAF+v79w=")</f>
        <v>#REF!</v>
      </c>
      <c r="HN20" t="e">
        <f>AND(#REF!,"AAAAAF+v790=")</f>
        <v>#REF!</v>
      </c>
      <c r="HO20" t="e">
        <f>AND(#REF!,"AAAAAF+v794=")</f>
        <v>#REF!</v>
      </c>
      <c r="HP20" t="e">
        <f>AND(#REF!,"AAAAAF+v798=")</f>
        <v>#REF!</v>
      </c>
      <c r="HQ20" t="e">
        <f>AND(#REF!,"AAAAAF+v7+A=")</f>
        <v>#REF!</v>
      </c>
      <c r="HR20" t="e">
        <f>AND(#REF!,"AAAAAF+v7+E=")</f>
        <v>#REF!</v>
      </c>
      <c r="HS20" t="e">
        <f>AND(#REF!,"AAAAAF+v7+I=")</f>
        <v>#REF!</v>
      </c>
      <c r="HT20" t="e">
        <f>AND(#REF!,"AAAAAF+v7+M=")</f>
        <v>#REF!</v>
      </c>
      <c r="HU20" t="e">
        <f>AND(#REF!,"AAAAAF+v7+Q=")</f>
        <v>#REF!</v>
      </c>
      <c r="HV20" t="e">
        <f>IF(#REF!,"AAAAAF+v7+U=",0)</f>
        <v>#REF!</v>
      </c>
      <c r="HW20" t="e">
        <f>AND(#REF!,"AAAAAF+v7+Y=")</f>
        <v>#REF!</v>
      </c>
      <c r="HX20" t="e">
        <f>AND(#REF!,"AAAAAF+v7+c=")</f>
        <v>#REF!</v>
      </c>
      <c r="HY20" t="e">
        <f>AND(#REF!,"AAAAAF+v7+g=")</f>
        <v>#REF!</v>
      </c>
      <c r="HZ20" t="e">
        <f>AND(#REF!,"AAAAAF+v7+k=")</f>
        <v>#REF!</v>
      </c>
      <c r="IA20" t="e">
        <f>AND(#REF!,"AAAAAF+v7+o=")</f>
        <v>#REF!</v>
      </c>
      <c r="IB20" t="e">
        <f>AND(#REF!,"AAAAAF+v7+s=")</f>
        <v>#REF!</v>
      </c>
      <c r="IC20" t="e">
        <f>AND(#REF!,"AAAAAF+v7+w=")</f>
        <v>#REF!</v>
      </c>
      <c r="ID20" t="e">
        <f>AND(#REF!,"AAAAAF+v7+0=")</f>
        <v>#REF!</v>
      </c>
      <c r="IE20" t="e">
        <f>AND(#REF!,"AAAAAF+v7+4=")</f>
        <v>#REF!</v>
      </c>
      <c r="IF20" t="e">
        <f>AND(#REF!,"AAAAAF+v7+8=")</f>
        <v>#REF!</v>
      </c>
      <c r="IG20" t="e">
        <f>AND(#REF!,"AAAAAF+v7/A=")</f>
        <v>#REF!</v>
      </c>
      <c r="IH20" t="e">
        <f>AND(#REF!,"AAAAAF+v7/E=")</f>
        <v>#REF!</v>
      </c>
      <c r="II20" t="e">
        <f>AND(#REF!,"AAAAAF+v7/I=")</f>
        <v>#REF!</v>
      </c>
      <c r="IJ20" t="e">
        <f>IF(#REF!,"AAAAAF+v7/M=",0)</f>
        <v>#REF!</v>
      </c>
      <c r="IK20" t="e">
        <f>AND(#REF!,"AAAAAF+v7/Q=")</f>
        <v>#REF!</v>
      </c>
      <c r="IL20" t="e">
        <f>AND(#REF!,"AAAAAF+v7/U=")</f>
        <v>#REF!</v>
      </c>
      <c r="IM20" t="e">
        <f>AND(#REF!,"AAAAAF+v7/Y=")</f>
        <v>#REF!</v>
      </c>
      <c r="IN20" t="e">
        <f>AND(#REF!,"AAAAAF+v7/c=")</f>
        <v>#REF!</v>
      </c>
      <c r="IO20" t="e">
        <f>AND(#REF!,"AAAAAF+v7/g=")</f>
        <v>#REF!</v>
      </c>
      <c r="IP20" t="e">
        <f>AND(#REF!,"AAAAAF+v7/k=")</f>
        <v>#REF!</v>
      </c>
      <c r="IQ20" t="e">
        <f>AND(#REF!,"AAAAAF+v7/o=")</f>
        <v>#REF!</v>
      </c>
      <c r="IR20" t="e">
        <f>AND(#REF!,"AAAAAF+v7/s=")</f>
        <v>#REF!</v>
      </c>
      <c r="IS20" t="e">
        <f>AND(#REF!,"AAAAAF+v7/w=")</f>
        <v>#REF!</v>
      </c>
      <c r="IT20" t="e">
        <f>AND(#REF!,"AAAAAF+v7/0=")</f>
        <v>#REF!</v>
      </c>
      <c r="IU20" t="e">
        <f>AND(#REF!,"AAAAAF+v7/4=")</f>
        <v>#REF!</v>
      </c>
      <c r="IV20" t="e">
        <f>AND(#REF!,"AAAAAF+v7/8=")</f>
        <v>#REF!</v>
      </c>
    </row>
    <row r="21" spans="1:256" x14ac:dyDescent="0.35">
      <c r="A21" t="e">
        <f>AND(#REF!,"AAAAAD/u3wA=")</f>
        <v>#REF!</v>
      </c>
      <c r="B21" t="e">
        <f>IF(#REF!,"AAAAAD/u3wE=",0)</f>
        <v>#REF!</v>
      </c>
      <c r="C21" t="e">
        <f>AND(#REF!,"AAAAAD/u3wI=")</f>
        <v>#REF!</v>
      </c>
      <c r="D21" t="e">
        <f>AND(#REF!,"AAAAAD/u3wM=")</f>
        <v>#REF!</v>
      </c>
      <c r="E21" t="e">
        <f>AND(#REF!,"AAAAAD/u3wQ=")</f>
        <v>#REF!</v>
      </c>
      <c r="F21" t="e">
        <f>AND(#REF!,"AAAAAD/u3wU=")</f>
        <v>#REF!</v>
      </c>
      <c r="G21" t="e">
        <f>AND(#REF!,"AAAAAD/u3wY=")</f>
        <v>#REF!</v>
      </c>
      <c r="H21" t="e">
        <f>AND(#REF!,"AAAAAD/u3wc=")</f>
        <v>#REF!</v>
      </c>
      <c r="I21" t="e">
        <f>AND(#REF!,"AAAAAD/u3wg=")</f>
        <v>#REF!</v>
      </c>
      <c r="J21" t="e">
        <f>AND(#REF!,"AAAAAD/u3wk=")</f>
        <v>#REF!</v>
      </c>
      <c r="K21" t="e">
        <f>AND(#REF!,"AAAAAD/u3wo=")</f>
        <v>#REF!</v>
      </c>
      <c r="L21" t="e">
        <f>AND(#REF!,"AAAAAD/u3ws=")</f>
        <v>#REF!</v>
      </c>
      <c r="M21" t="e">
        <f>AND(#REF!,"AAAAAD/u3ww=")</f>
        <v>#REF!</v>
      </c>
      <c r="N21" t="e">
        <f>AND(#REF!,"AAAAAD/u3w0=")</f>
        <v>#REF!</v>
      </c>
      <c r="O21" t="e">
        <f>AND(#REF!,"AAAAAD/u3w4=")</f>
        <v>#REF!</v>
      </c>
      <c r="P21" t="e">
        <f>IF(#REF!,"AAAAAD/u3w8=",0)</f>
        <v>#REF!</v>
      </c>
      <c r="Q21" t="e">
        <f>AND(#REF!,"AAAAAD/u3xA=")</f>
        <v>#REF!</v>
      </c>
      <c r="R21" t="e">
        <f>AND(#REF!,"AAAAAD/u3xE=")</f>
        <v>#REF!</v>
      </c>
      <c r="S21" t="e">
        <f>AND(#REF!,"AAAAAD/u3xI=")</f>
        <v>#REF!</v>
      </c>
      <c r="T21" t="e">
        <f>AND(#REF!,"AAAAAD/u3xM=")</f>
        <v>#REF!</v>
      </c>
      <c r="U21" t="e">
        <f>AND(#REF!,"AAAAAD/u3xQ=")</f>
        <v>#REF!</v>
      </c>
      <c r="V21" t="e">
        <f>AND(#REF!,"AAAAAD/u3xU=")</f>
        <v>#REF!</v>
      </c>
      <c r="W21" t="e">
        <f>AND(#REF!,"AAAAAD/u3xY=")</f>
        <v>#REF!</v>
      </c>
      <c r="X21" t="e">
        <f>AND(#REF!,"AAAAAD/u3xc=")</f>
        <v>#REF!</v>
      </c>
      <c r="Y21" t="e">
        <f>AND(#REF!,"AAAAAD/u3xg=")</f>
        <v>#REF!</v>
      </c>
      <c r="Z21" t="e">
        <f>AND(#REF!,"AAAAAD/u3xk=")</f>
        <v>#REF!</v>
      </c>
      <c r="AA21" t="e">
        <f>AND(#REF!,"AAAAAD/u3xo=")</f>
        <v>#REF!</v>
      </c>
      <c r="AB21" t="e">
        <f>AND(#REF!,"AAAAAD/u3xs=")</f>
        <v>#REF!</v>
      </c>
      <c r="AC21" t="e">
        <f>AND(#REF!,"AAAAAD/u3xw=")</f>
        <v>#REF!</v>
      </c>
      <c r="AD21" t="e">
        <f>IF(#REF!,"AAAAAD/u3x0=",0)</f>
        <v>#REF!</v>
      </c>
      <c r="AE21" t="e">
        <f>AND(#REF!,"AAAAAD/u3x4=")</f>
        <v>#REF!</v>
      </c>
      <c r="AF21" t="e">
        <f>AND(#REF!,"AAAAAD/u3x8=")</f>
        <v>#REF!</v>
      </c>
      <c r="AG21" t="e">
        <f>AND(#REF!,"AAAAAD/u3yA=")</f>
        <v>#REF!</v>
      </c>
      <c r="AH21" t="e">
        <f>AND(#REF!,"AAAAAD/u3yE=")</f>
        <v>#REF!</v>
      </c>
      <c r="AI21" t="e">
        <f>AND(#REF!,"AAAAAD/u3yI=")</f>
        <v>#REF!</v>
      </c>
      <c r="AJ21" t="e">
        <f>AND(#REF!,"AAAAAD/u3yM=")</f>
        <v>#REF!</v>
      </c>
      <c r="AK21" t="e">
        <f>AND(#REF!,"AAAAAD/u3yQ=")</f>
        <v>#REF!</v>
      </c>
      <c r="AL21" t="e">
        <f>AND(#REF!,"AAAAAD/u3yU=")</f>
        <v>#REF!</v>
      </c>
      <c r="AM21" t="e">
        <f>AND(#REF!,"AAAAAD/u3yY=")</f>
        <v>#REF!</v>
      </c>
      <c r="AN21" t="e">
        <f>AND(#REF!,"AAAAAD/u3yc=")</f>
        <v>#REF!</v>
      </c>
      <c r="AO21" t="e">
        <f>AND(#REF!,"AAAAAD/u3yg=")</f>
        <v>#REF!</v>
      </c>
      <c r="AP21" t="e">
        <f>AND(#REF!,"AAAAAD/u3yk=")</f>
        <v>#REF!</v>
      </c>
      <c r="AQ21" t="e">
        <f>AND(#REF!,"AAAAAD/u3yo=")</f>
        <v>#REF!</v>
      </c>
      <c r="AR21" t="e">
        <f>IF(#REF!,"AAAAAD/u3ys=",0)</f>
        <v>#REF!</v>
      </c>
      <c r="AS21" t="e">
        <f>AND(#REF!,"AAAAAD/u3yw=")</f>
        <v>#REF!</v>
      </c>
      <c r="AT21" t="e">
        <f>AND(#REF!,"AAAAAD/u3y0=")</f>
        <v>#REF!</v>
      </c>
      <c r="AU21" t="e">
        <f>AND(#REF!,"AAAAAD/u3y4=")</f>
        <v>#REF!</v>
      </c>
      <c r="AV21" t="e">
        <f>AND(#REF!,"AAAAAD/u3y8=")</f>
        <v>#REF!</v>
      </c>
      <c r="AW21" t="e">
        <f>AND(#REF!,"AAAAAD/u3zA=")</f>
        <v>#REF!</v>
      </c>
      <c r="AX21" t="e">
        <f>AND(#REF!,"AAAAAD/u3zE=")</f>
        <v>#REF!</v>
      </c>
      <c r="AY21" t="e">
        <f>AND(#REF!,"AAAAAD/u3zI=")</f>
        <v>#REF!</v>
      </c>
      <c r="AZ21" t="e">
        <f>AND(#REF!,"AAAAAD/u3zM=")</f>
        <v>#REF!</v>
      </c>
      <c r="BA21" t="e">
        <f>AND(#REF!,"AAAAAD/u3zQ=")</f>
        <v>#REF!</v>
      </c>
      <c r="BB21" t="e">
        <f>AND(#REF!,"AAAAAD/u3zU=")</f>
        <v>#REF!</v>
      </c>
      <c r="BC21" t="e">
        <f>AND(#REF!,"AAAAAD/u3zY=")</f>
        <v>#REF!</v>
      </c>
      <c r="BD21" t="e">
        <f>AND(#REF!,"AAAAAD/u3zc=")</f>
        <v>#REF!</v>
      </c>
      <c r="BE21" t="e">
        <f>AND(#REF!,"AAAAAD/u3zg=")</f>
        <v>#REF!</v>
      </c>
      <c r="BF21" t="e">
        <f>IF(#REF!,"AAAAAD/u3zk=",0)</f>
        <v>#REF!</v>
      </c>
      <c r="BG21" t="e">
        <f>AND(#REF!,"AAAAAD/u3zo=")</f>
        <v>#REF!</v>
      </c>
      <c r="BH21" t="e">
        <f>AND(#REF!,"AAAAAD/u3zs=")</f>
        <v>#REF!</v>
      </c>
      <c r="BI21" t="e">
        <f>AND(#REF!,"AAAAAD/u3zw=")</f>
        <v>#REF!</v>
      </c>
      <c r="BJ21" t="e">
        <f>AND(#REF!,"AAAAAD/u3z0=")</f>
        <v>#REF!</v>
      </c>
      <c r="BK21" t="e">
        <f>AND(#REF!,"AAAAAD/u3z4=")</f>
        <v>#REF!</v>
      </c>
      <c r="BL21" t="e">
        <f>AND(#REF!,"AAAAAD/u3z8=")</f>
        <v>#REF!</v>
      </c>
      <c r="BM21" t="e">
        <f>AND(#REF!,"AAAAAD/u30A=")</f>
        <v>#REF!</v>
      </c>
      <c r="BN21" t="e">
        <f>AND(#REF!,"AAAAAD/u30E=")</f>
        <v>#REF!</v>
      </c>
      <c r="BO21" t="e">
        <f>AND(#REF!,"AAAAAD/u30I=")</f>
        <v>#REF!</v>
      </c>
      <c r="BP21" t="e">
        <f>AND(#REF!,"AAAAAD/u30M=")</f>
        <v>#REF!</v>
      </c>
      <c r="BQ21" t="e">
        <f>AND(#REF!,"AAAAAD/u30Q=")</f>
        <v>#REF!</v>
      </c>
      <c r="BR21" t="e">
        <f>AND(#REF!,"AAAAAD/u30U=")</f>
        <v>#REF!</v>
      </c>
      <c r="BS21" t="e">
        <f>AND(#REF!,"AAAAAD/u30Y=")</f>
        <v>#REF!</v>
      </c>
      <c r="BT21" t="e">
        <f>IF(#REF!,"AAAAAD/u30c=",0)</f>
        <v>#REF!</v>
      </c>
      <c r="BU21" t="e">
        <f>AND(#REF!,"AAAAAD/u30g=")</f>
        <v>#REF!</v>
      </c>
      <c r="BV21" t="e">
        <f>AND(#REF!,"AAAAAD/u30k=")</f>
        <v>#REF!</v>
      </c>
      <c r="BW21" t="e">
        <f>AND(#REF!,"AAAAAD/u30o=")</f>
        <v>#REF!</v>
      </c>
      <c r="BX21" t="e">
        <f>AND(#REF!,"AAAAAD/u30s=")</f>
        <v>#REF!</v>
      </c>
      <c r="BY21" t="e">
        <f>AND(#REF!,"AAAAAD/u30w=")</f>
        <v>#REF!</v>
      </c>
      <c r="BZ21" t="e">
        <f>AND(#REF!,"AAAAAD/u300=")</f>
        <v>#REF!</v>
      </c>
      <c r="CA21" t="e">
        <f>AND(#REF!,"AAAAAD/u304=")</f>
        <v>#REF!</v>
      </c>
      <c r="CB21" t="e">
        <f>AND(#REF!,"AAAAAD/u308=")</f>
        <v>#REF!</v>
      </c>
      <c r="CC21" t="e">
        <f>AND(#REF!,"AAAAAD/u31A=")</f>
        <v>#REF!</v>
      </c>
      <c r="CD21" t="e">
        <f>AND(#REF!,"AAAAAD/u31E=")</f>
        <v>#REF!</v>
      </c>
      <c r="CE21" t="e">
        <f>AND(#REF!,"AAAAAD/u31I=")</f>
        <v>#REF!</v>
      </c>
      <c r="CF21" t="e">
        <f>AND(#REF!,"AAAAAD/u31M=")</f>
        <v>#REF!</v>
      </c>
      <c r="CG21" t="e">
        <f>AND(#REF!,"AAAAAD/u31Q=")</f>
        <v>#REF!</v>
      </c>
      <c r="CH21" t="e">
        <f>IF(#REF!,"AAAAAD/u31U=",0)</f>
        <v>#REF!</v>
      </c>
      <c r="CI21" t="e">
        <f>AND(#REF!,"AAAAAD/u31Y=")</f>
        <v>#REF!</v>
      </c>
      <c r="CJ21" t="e">
        <f>AND(#REF!,"AAAAAD/u31c=")</f>
        <v>#REF!</v>
      </c>
      <c r="CK21" t="e">
        <f>AND(#REF!,"AAAAAD/u31g=")</f>
        <v>#REF!</v>
      </c>
      <c r="CL21" t="e">
        <f>AND(#REF!,"AAAAAD/u31k=")</f>
        <v>#REF!</v>
      </c>
      <c r="CM21" t="e">
        <f>AND(#REF!,"AAAAAD/u31o=")</f>
        <v>#REF!</v>
      </c>
      <c r="CN21" t="e">
        <f>AND(#REF!,"AAAAAD/u31s=")</f>
        <v>#REF!</v>
      </c>
      <c r="CO21" t="e">
        <f>AND(#REF!,"AAAAAD/u31w=")</f>
        <v>#REF!</v>
      </c>
      <c r="CP21" t="e">
        <f>AND(#REF!,"AAAAAD/u310=")</f>
        <v>#REF!</v>
      </c>
      <c r="CQ21" t="e">
        <f>AND(#REF!,"AAAAAD/u314=")</f>
        <v>#REF!</v>
      </c>
      <c r="CR21" t="e">
        <f>AND(#REF!,"AAAAAD/u318=")</f>
        <v>#REF!</v>
      </c>
      <c r="CS21" t="e">
        <f>AND(#REF!,"AAAAAD/u32A=")</f>
        <v>#REF!</v>
      </c>
      <c r="CT21" t="e">
        <f>AND(#REF!,"AAAAAD/u32E=")</f>
        <v>#REF!</v>
      </c>
      <c r="CU21" t="e">
        <f>AND(#REF!,"AAAAAD/u32I=")</f>
        <v>#REF!</v>
      </c>
      <c r="CV21" t="e">
        <f>IF(#REF!,"AAAAAD/u32M=",0)</f>
        <v>#REF!</v>
      </c>
      <c r="CW21" t="e">
        <f>AND(#REF!,"AAAAAD/u32Q=")</f>
        <v>#REF!</v>
      </c>
      <c r="CX21" t="e">
        <f>AND(#REF!,"AAAAAD/u32U=")</f>
        <v>#REF!</v>
      </c>
      <c r="CY21" t="e">
        <f>AND(#REF!,"AAAAAD/u32Y=")</f>
        <v>#REF!</v>
      </c>
      <c r="CZ21" t="e">
        <f>AND(#REF!,"AAAAAD/u32c=")</f>
        <v>#REF!</v>
      </c>
      <c r="DA21" t="e">
        <f>AND(#REF!,"AAAAAD/u32g=")</f>
        <v>#REF!</v>
      </c>
      <c r="DB21" t="e">
        <f>AND(#REF!,"AAAAAD/u32k=")</f>
        <v>#REF!</v>
      </c>
      <c r="DC21" t="e">
        <f>AND(#REF!,"AAAAAD/u32o=")</f>
        <v>#REF!</v>
      </c>
      <c r="DD21" t="e">
        <f>AND(#REF!,"AAAAAD/u32s=")</f>
        <v>#REF!</v>
      </c>
      <c r="DE21" t="e">
        <f>AND(#REF!,"AAAAAD/u32w=")</f>
        <v>#REF!</v>
      </c>
      <c r="DF21" t="e">
        <f>AND(#REF!,"AAAAAD/u320=")</f>
        <v>#REF!</v>
      </c>
      <c r="DG21" t="e">
        <f>AND(#REF!,"AAAAAD/u324=")</f>
        <v>#REF!</v>
      </c>
      <c r="DH21" t="e">
        <f>AND(#REF!,"AAAAAD/u328=")</f>
        <v>#REF!</v>
      </c>
      <c r="DI21" t="e">
        <f>AND(#REF!,"AAAAAD/u33A=")</f>
        <v>#REF!</v>
      </c>
      <c r="DJ21" t="e">
        <f>IF(#REF!,"AAAAAD/u33E=",0)</f>
        <v>#REF!</v>
      </c>
      <c r="DK21" t="e">
        <f>AND(#REF!,"AAAAAD/u33I=")</f>
        <v>#REF!</v>
      </c>
      <c r="DL21" t="e">
        <f>AND(#REF!,"AAAAAD/u33M=")</f>
        <v>#REF!</v>
      </c>
      <c r="DM21" t="e">
        <f>AND(#REF!,"AAAAAD/u33Q=")</f>
        <v>#REF!</v>
      </c>
      <c r="DN21" t="e">
        <f>AND(#REF!,"AAAAAD/u33U=")</f>
        <v>#REF!</v>
      </c>
      <c r="DO21" t="e">
        <f>AND(#REF!,"AAAAAD/u33Y=")</f>
        <v>#REF!</v>
      </c>
      <c r="DP21" t="e">
        <f>AND(#REF!,"AAAAAD/u33c=")</f>
        <v>#REF!</v>
      </c>
      <c r="DQ21" t="e">
        <f>AND(#REF!,"AAAAAD/u33g=")</f>
        <v>#REF!</v>
      </c>
      <c r="DR21" t="e">
        <f>AND(#REF!,"AAAAAD/u33k=")</f>
        <v>#REF!</v>
      </c>
      <c r="DS21" t="e">
        <f>AND(#REF!,"AAAAAD/u33o=")</f>
        <v>#REF!</v>
      </c>
      <c r="DT21" t="e">
        <f>AND(#REF!,"AAAAAD/u33s=")</f>
        <v>#REF!</v>
      </c>
      <c r="DU21" t="e">
        <f>AND(#REF!,"AAAAAD/u33w=")</f>
        <v>#REF!</v>
      </c>
      <c r="DV21" t="e">
        <f>AND(#REF!,"AAAAAD/u330=")</f>
        <v>#REF!</v>
      </c>
      <c r="DW21" t="e">
        <f>AND(#REF!,"AAAAAD/u334=")</f>
        <v>#REF!</v>
      </c>
      <c r="DX21" t="e">
        <f>IF(#REF!,"AAAAAD/u338=",0)</f>
        <v>#REF!</v>
      </c>
      <c r="DY21" t="e">
        <f>AND(#REF!,"AAAAAD/u34A=")</f>
        <v>#REF!</v>
      </c>
      <c r="DZ21" t="e">
        <f>AND(#REF!,"AAAAAD/u34E=")</f>
        <v>#REF!</v>
      </c>
      <c r="EA21" t="e">
        <f>AND(#REF!,"AAAAAD/u34I=")</f>
        <v>#REF!</v>
      </c>
      <c r="EB21" t="e">
        <f>AND(#REF!,"AAAAAD/u34M=")</f>
        <v>#REF!</v>
      </c>
      <c r="EC21" t="e">
        <f>AND(#REF!,"AAAAAD/u34Q=")</f>
        <v>#REF!</v>
      </c>
      <c r="ED21" t="e">
        <f>AND(#REF!,"AAAAAD/u34U=")</f>
        <v>#REF!</v>
      </c>
      <c r="EE21" t="e">
        <f>AND(#REF!,"AAAAAD/u34Y=")</f>
        <v>#REF!</v>
      </c>
      <c r="EF21" t="e">
        <f>AND(#REF!,"AAAAAD/u34c=")</f>
        <v>#REF!</v>
      </c>
      <c r="EG21" t="e">
        <f>IF(#REF!,"AAAAAD/u34g=",0)</f>
        <v>#REF!</v>
      </c>
      <c r="EH21" t="e">
        <f>AND(#REF!,"AAAAAD/u34k=")</f>
        <v>#REF!</v>
      </c>
      <c r="EI21" t="e">
        <f>AND(#REF!,"AAAAAD/u34o=")</f>
        <v>#REF!</v>
      </c>
      <c r="EJ21" t="e">
        <f>AND(#REF!,"AAAAAD/u34s=")</f>
        <v>#REF!</v>
      </c>
      <c r="EK21" t="e">
        <f>AND(#REF!,"AAAAAD/u34w=")</f>
        <v>#REF!</v>
      </c>
      <c r="EL21" t="e">
        <f>AND(#REF!,"AAAAAD/u340=")</f>
        <v>#REF!</v>
      </c>
      <c r="EM21" t="e">
        <f>AND(#REF!,"AAAAAD/u344=")</f>
        <v>#REF!</v>
      </c>
      <c r="EN21" t="e">
        <f>AND(#REF!,"AAAAAD/u348=")</f>
        <v>#REF!</v>
      </c>
      <c r="EO21" t="e">
        <f>AND(#REF!,"AAAAAD/u35A=")</f>
        <v>#REF!</v>
      </c>
      <c r="EP21" t="e">
        <f>IF(#REF!,"AAAAAD/u35E=",0)</f>
        <v>#REF!</v>
      </c>
      <c r="EQ21" t="e">
        <f>AND(#REF!,"AAAAAD/u35I=")</f>
        <v>#REF!</v>
      </c>
      <c r="ER21" t="e">
        <f>AND(#REF!,"AAAAAD/u35M=")</f>
        <v>#REF!</v>
      </c>
      <c r="ES21" t="e">
        <f>AND(#REF!,"AAAAAD/u35Q=")</f>
        <v>#REF!</v>
      </c>
      <c r="ET21" t="e">
        <f>AND(#REF!,"AAAAAD/u35U=")</f>
        <v>#REF!</v>
      </c>
      <c r="EU21" t="e">
        <f>AND(#REF!,"AAAAAD/u35Y=")</f>
        <v>#REF!</v>
      </c>
      <c r="EV21" t="e">
        <f>AND(#REF!,"AAAAAD/u35c=")</f>
        <v>#REF!</v>
      </c>
      <c r="EW21" t="e">
        <f>AND(#REF!,"AAAAAD/u35g=")</f>
        <v>#REF!</v>
      </c>
      <c r="EX21" t="e">
        <f>AND(#REF!,"AAAAAD/u35k=")</f>
        <v>#REF!</v>
      </c>
      <c r="EY21" t="e">
        <f>IF(#REF!,"AAAAAD/u35o=",0)</f>
        <v>#REF!</v>
      </c>
      <c r="EZ21" t="e">
        <f>AND(#REF!,"AAAAAD/u35s=")</f>
        <v>#REF!</v>
      </c>
      <c r="FA21" t="e">
        <f>AND(#REF!,"AAAAAD/u35w=")</f>
        <v>#REF!</v>
      </c>
      <c r="FB21" t="e">
        <f>AND(#REF!,"AAAAAD/u350=")</f>
        <v>#REF!</v>
      </c>
      <c r="FC21" t="e">
        <f>AND(#REF!,"AAAAAD/u354=")</f>
        <v>#REF!</v>
      </c>
      <c r="FD21" t="e">
        <f>AND(#REF!,"AAAAAD/u358=")</f>
        <v>#REF!</v>
      </c>
      <c r="FE21" t="e">
        <f>AND(#REF!,"AAAAAD/u36A=")</f>
        <v>#REF!</v>
      </c>
      <c r="FF21" t="e">
        <f>AND(#REF!,"AAAAAD/u36E=")</f>
        <v>#REF!</v>
      </c>
      <c r="FG21" t="e">
        <f>AND(#REF!,"AAAAAD/u36I=")</f>
        <v>#REF!</v>
      </c>
      <c r="FH21" t="e">
        <f>IF(#REF!,"AAAAAD/u36M=",0)</f>
        <v>#REF!</v>
      </c>
      <c r="FI21" t="e">
        <f>AND(#REF!,"AAAAAD/u36Q=")</f>
        <v>#REF!</v>
      </c>
      <c r="FJ21" t="e">
        <f>AND(#REF!,"AAAAAD/u36U=")</f>
        <v>#REF!</v>
      </c>
      <c r="FK21" t="e">
        <f>AND(#REF!,"AAAAAD/u36Y=")</f>
        <v>#REF!</v>
      </c>
      <c r="FL21" t="e">
        <f>AND(#REF!,"AAAAAD/u36c=")</f>
        <v>#REF!</v>
      </c>
      <c r="FM21" t="e">
        <f>AND(#REF!,"AAAAAD/u36g=")</f>
        <v>#REF!</v>
      </c>
      <c r="FN21" t="e">
        <f>AND(#REF!,"AAAAAD/u36k=")</f>
        <v>#REF!</v>
      </c>
      <c r="FO21" t="e">
        <f>AND(#REF!,"AAAAAD/u36o=")</f>
        <v>#REF!</v>
      </c>
      <c r="FP21" t="e">
        <f>AND(#REF!,"AAAAAD/u36s=")</f>
        <v>#REF!</v>
      </c>
      <c r="FQ21" t="e">
        <f>IF(#REF!,"AAAAAD/u36w=",0)</f>
        <v>#REF!</v>
      </c>
      <c r="FR21" t="e">
        <f>AND(#REF!,"AAAAAD/u360=")</f>
        <v>#REF!</v>
      </c>
      <c r="FS21" t="e">
        <f>AND(#REF!,"AAAAAD/u364=")</f>
        <v>#REF!</v>
      </c>
      <c r="FT21" t="e">
        <f>AND(#REF!,"AAAAAD/u368=")</f>
        <v>#REF!</v>
      </c>
      <c r="FU21" t="e">
        <f>AND(#REF!,"AAAAAD/u37A=")</f>
        <v>#REF!</v>
      </c>
      <c r="FV21" t="e">
        <f>AND(#REF!,"AAAAAD/u37E=")</f>
        <v>#REF!</v>
      </c>
      <c r="FW21" t="e">
        <f>AND(#REF!,"AAAAAD/u37I=")</f>
        <v>#REF!</v>
      </c>
      <c r="FX21" t="e">
        <f>AND(#REF!,"AAAAAD/u37M=")</f>
        <v>#REF!</v>
      </c>
      <c r="FY21" t="e">
        <f>AND(#REF!,"AAAAAD/u37Q=")</f>
        <v>#REF!</v>
      </c>
      <c r="FZ21" t="e">
        <f>IF(#REF!,"AAAAAD/u37U=",0)</f>
        <v>#REF!</v>
      </c>
      <c r="GA21" t="e">
        <f>AND(#REF!,"AAAAAD/u37Y=")</f>
        <v>#REF!</v>
      </c>
      <c r="GB21" t="e">
        <f>AND(#REF!,"AAAAAD/u37c=")</f>
        <v>#REF!</v>
      </c>
      <c r="GC21" t="e">
        <f>AND(#REF!,"AAAAAD/u37g=")</f>
        <v>#REF!</v>
      </c>
      <c r="GD21" t="e">
        <f>AND(#REF!,"AAAAAD/u37k=")</f>
        <v>#REF!</v>
      </c>
      <c r="GE21" t="e">
        <f>AND(#REF!,"AAAAAD/u37o=")</f>
        <v>#REF!</v>
      </c>
      <c r="GF21" t="e">
        <f>AND(#REF!,"AAAAAD/u37s=")</f>
        <v>#REF!</v>
      </c>
      <c r="GG21" t="e">
        <f>AND(#REF!,"AAAAAD/u37w=")</f>
        <v>#REF!</v>
      </c>
      <c r="GH21" t="e">
        <f>AND(#REF!,"AAAAAD/u370=")</f>
        <v>#REF!</v>
      </c>
      <c r="GI21" t="e">
        <f>IF(#REF!,"AAAAAD/u374=",0)</f>
        <v>#REF!</v>
      </c>
      <c r="GJ21" t="e">
        <f>AND(#REF!,"AAAAAD/u378=")</f>
        <v>#REF!</v>
      </c>
      <c r="GK21" t="e">
        <f>AND(#REF!,"AAAAAD/u38A=")</f>
        <v>#REF!</v>
      </c>
      <c r="GL21" t="e">
        <f>AND(#REF!,"AAAAAD/u38E=")</f>
        <v>#REF!</v>
      </c>
      <c r="GM21" t="e">
        <f>AND(#REF!,"AAAAAD/u38I=")</f>
        <v>#REF!</v>
      </c>
      <c r="GN21" t="e">
        <f>AND(#REF!,"AAAAAD/u38M=")</f>
        <v>#REF!</v>
      </c>
      <c r="GO21" t="e">
        <f>AND(#REF!,"AAAAAD/u38Q=")</f>
        <v>#REF!</v>
      </c>
      <c r="GP21" t="e">
        <f>AND(#REF!,"AAAAAD/u38U=")</f>
        <v>#REF!</v>
      </c>
      <c r="GQ21" t="e">
        <f>AND(#REF!,"AAAAAD/u38Y=")</f>
        <v>#REF!</v>
      </c>
      <c r="GR21" t="e">
        <f>IF(#REF!,"AAAAAD/u38c=",0)</f>
        <v>#REF!</v>
      </c>
      <c r="GS21" t="e">
        <f>AND(#REF!,"AAAAAD/u38g=")</f>
        <v>#REF!</v>
      </c>
      <c r="GT21" t="e">
        <f>AND(#REF!,"AAAAAD/u38k=")</f>
        <v>#REF!</v>
      </c>
      <c r="GU21" t="e">
        <f>AND(#REF!,"AAAAAD/u38o=")</f>
        <v>#REF!</v>
      </c>
      <c r="GV21" t="e">
        <f>AND(#REF!,"AAAAAD/u38s=")</f>
        <v>#REF!</v>
      </c>
      <c r="GW21" t="e">
        <f>AND(#REF!,"AAAAAD/u38w=")</f>
        <v>#REF!</v>
      </c>
      <c r="GX21" t="e">
        <f>AND(#REF!,"AAAAAD/u380=")</f>
        <v>#REF!</v>
      </c>
      <c r="GY21" t="e">
        <f>AND(#REF!,"AAAAAD/u384=")</f>
        <v>#REF!</v>
      </c>
      <c r="GZ21" t="e">
        <f>AND(#REF!,"AAAAAD/u388=")</f>
        <v>#REF!</v>
      </c>
      <c r="HA21" t="e">
        <f>IF(#REF!,"AAAAAD/u39A=",0)</f>
        <v>#REF!</v>
      </c>
      <c r="HB21" t="e">
        <f>AND(#REF!,"AAAAAD/u39E=")</f>
        <v>#REF!</v>
      </c>
      <c r="HC21" t="e">
        <f>AND(#REF!,"AAAAAD/u39I=")</f>
        <v>#REF!</v>
      </c>
      <c r="HD21" t="e">
        <f>AND(#REF!,"AAAAAD/u39M=")</f>
        <v>#REF!</v>
      </c>
      <c r="HE21" t="e">
        <f>AND(#REF!,"AAAAAD/u39Q=")</f>
        <v>#REF!</v>
      </c>
      <c r="HF21" t="e">
        <f>AND(#REF!,"AAAAAD/u39U=")</f>
        <v>#REF!</v>
      </c>
      <c r="HG21" t="e">
        <f>AND(#REF!,"AAAAAD/u39Y=")</f>
        <v>#REF!</v>
      </c>
      <c r="HH21" t="e">
        <f>AND(#REF!,"AAAAAD/u39c=")</f>
        <v>#REF!</v>
      </c>
      <c r="HI21" t="e">
        <f>AND(#REF!,"AAAAAD/u39g=")</f>
        <v>#REF!</v>
      </c>
      <c r="HJ21" t="e">
        <f>IF(#REF!,"AAAAAD/u39k=",0)</f>
        <v>#REF!</v>
      </c>
      <c r="HK21" t="e">
        <f>AND(#REF!,"AAAAAD/u39o=")</f>
        <v>#REF!</v>
      </c>
      <c r="HL21" t="e">
        <f>AND(#REF!,"AAAAAD/u39s=")</f>
        <v>#REF!</v>
      </c>
      <c r="HM21" t="e">
        <f>AND(#REF!,"AAAAAD/u39w=")</f>
        <v>#REF!</v>
      </c>
      <c r="HN21" t="e">
        <f>AND(#REF!,"AAAAAD/u390=")</f>
        <v>#REF!</v>
      </c>
      <c r="HO21" t="e">
        <f>AND(#REF!,"AAAAAD/u394=")</f>
        <v>#REF!</v>
      </c>
      <c r="HP21" t="e">
        <f>AND(#REF!,"AAAAAD/u398=")</f>
        <v>#REF!</v>
      </c>
      <c r="HQ21" t="e">
        <f>AND(#REF!,"AAAAAD/u3+A=")</f>
        <v>#REF!</v>
      </c>
      <c r="HR21" t="e">
        <f>AND(#REF!,"AAAAAD/u3+E=")</f>
        <v>#REF!</v>
      </c>
      <c r="HS21" t="e">
        <f>IF(#REF!,"AAAAAD/u3+I=",0)</f>
        <v>#REF!</v>
      </c>
      <c r="HT21" t="e">
        <f>AND(#REF!,"AAAAAD/u3+M=")</f>
        <v>#REF!</v>
      </c>
      <c r="HU21" t="e">
        <f>AND(#REF!,"AAAAAD/u3+Q=")</f>
        <v>#REF!</v>
      </c>
      <c r="HV21" t="e">
        <f>AND(#REF!,"AAAAAD/u3+U=")</f>
        <v>#REF!</v>
      </c>
      <c r="HW21" t="e">
        <f>AND(#REF!,"AAAAAD/u3+Y=")</f>
        <v>#REF!</v>
      </c>
      <c r="HX21" t="e">
        <f>AND(#REF!,"AAAAAD/u3+c=")</f>
        <v>#REF!</v>
      </c>
      <c r="HY21" t="e">
        <f>AND(#REF!,"AAAAAD/u3+g=")</f>
        <v>#REF!</v>
      </c>
      <c r="HZ21" t="e">
        <f>AND(#REF!,"AAAAAD/u3+k=")</f>
        <v>#REF!</v>
      </c>
      <c r="IA21" t="e">
        <f>AND(#REF!,"AAAAAD/u3+o=")</f>
        <v>#REF!</v>
      </c>
      <c r="IB21" t="e">
        <f>IF(#REF!,"AAAAAD/u3+s=",0)</f>
        <v>#REF!</v>
      </c>
      <c r="IC21" t="e">
        <f>AND(#REF!,"AAAAAD/u3+w=")</f>
        <v>#REF!</v>
      </c>
      <c r="ID21" t="e">
        <f>AND(#REF!,"AAAAAD/u3+0=")</f>
        <v>#REF!</v>
      </c>
      <c r="IE21" t="e">
        <f>AND(#REF!,"AAAAAD/u3+4=")</f>
        <v>#REF!</v>
      </c>
      <c r="IF21" t="e">
        <f>AND(#REF!,"AAAAAD/u3+8=")</f>
        <v>#REF!</v>
      </c>
      <c r="IG21" t="e">
        <f>AND(#REF!,"AAAAAD/u3/A=")</f>
        <v>#REF!</v>
      </c>
      <c r="IH21" t="e">
        <f>AND(#REF!,"AAAAAD/u3/E=")</f>
        <v>#REF!</v>
      </c>
      <c r="II21" t="e">
        <f>AND(#REF!,"AAAAAD/u3/I=")</f>
        <v>#REF!</v>
      </c>
      <c r="IJ21" t="e">
        <f>AND(#REF!,"AAAAAD/u3/M=")</f>
        <v>#REF!</v>
      </c>
      <c r="IK21" t="e">
        <f>IF(#REF!,"AAAAAD/u3/Q=",0)</f>
        <v>#REF!</v>
      </c>
      <c r="IL21" t="e">
        <f>AND(#REF!,"AAAAAD/u3/U=")</f>
        <v>#REF!</v>
      </c>
      <c r="IM21" t="e">
        <f>AND(#REF!,"AAAAAD/u3/Y=")</f>
        <v>#REF!</v>
      </c>
      <c r="IN21" t="e">
        <f>AND(#REF!,"AAAAAD/u3/c=")</f>
        <v>#REF!</v>
      </c>
      <c r="IO21" t="e">
        <f>AND(#REF!,"AAAAAD/u3/g=")</f>
        <v>#REF!</v>
      </c>
      <c r="IP21" t="e">
        <f>AND(#REF!,"AAAAAD/u3/k=")</f>
        <v>#REF!</v>
      </c>
      <c r="IQ21" t="e">
        <f>AND(#REF!,"AAAAAD/u3/o=")</f>
        <v>#REF!</v>
      </c>
      <c r="IR21" t="e">
        <f>AND(#REF!,"AAAAAD/u3/s=")</f>
        <v>#REF!</v>
      </c>
      <c r="IS21" t="e">
        <f>AND(#REF!,"AAAAAD/u3/w=")</f>
        <v>#REF!</v>
      </c>
      <c r="IT21" t="e">
        <f>IF(#REF!,"AAAAAD/u3/0=",0)</f>
        <v>#REF!</v>
      </c>
      <c r="IU21" t="e">
        <f>AND(#REF!,"AAAAAD/u3/4=")</f>
        <v>#REF!</v>
      </c>
      <c r="IV21" t="e">
        <f>AND(#REF!,"AAAAAD/u3/8=")</f>
        <v>#REF!</v>
      </c>
    </row>
    <row r="22" spans="1:256" x14ac:dyDescent="0.35">
      <c r="A22" t="e">
        <f>AND(#REF!,"AAAAAF01/wA=")</f>
        <v>#REF!</v>
      </c>
      <c r="B22" t="e">
        <f>AND(#REF!,"AAAAAF01/wE=")</f>
        <v>#REF!</v>
      </c>
      <c r="C22" t="e">
        <f>AND(#REF!,"AAAAAF01/wI=")</f>
        <v>#REF!</v>
      </c>
      <c r="D22" t="e">
        <f>AND(#REF!,"AAAAAF01/wM=")</f>
        <v>#REF!</v>
      </c>
      <c r="E22" t="e">
        <f>AND(#REF!,"AAAAAF01/wQ=")</f>
        <v>#REF!</v>
      </c>
      <c r="F22" t="e">
        <f>AND(#REF!,"AAAAAF01/wU=")</f>
        <v>#REF!</v>
      </c>
      <c r="G22" t="e">
        <f>IF(#REF!,"AAAAAF01/wY=",0)</f>
        <v>#REF!</v>
      </c>
      <c r="H22" t="e">
        <f>AND(#REF!,"AAAAAF01/wc=")</f>
        <v>#REF!</v>
      </c>
      <c r="I22" t="e">
        <f>AND(#REF!,"AAAAAF01/wg=")</f>
        <v>#REF!</v>
      </c>
      <c r="J22" t="e">
        <f>AND(#REF!,"AAAAAF01/wk=")</f>
        <v>#REF!</v>
      </c>
      <c r="K22" t="e">
        <f>AND(#REF!,"AAAAAF01/wo=")</f>
        <v>#REF!</v>
      </c>
      <c r="L22" t="e">
        <f>AND(#REF!,"AAAAAF01/ws=")</f>
        <v>#REF!</v>
      </c>
      <c r="M22" t="e">
        <f>AND(#REF!,"AAAAAF01/ww=")</f>
        <v>#REF!</v>
      </c>
      <c r="N22" t="e">
        <f>AND(#REF!,"AAAAAF01/w0=")</f>
        <v>#REF!</v>
      </c>
      <c r="O22" t="e">
        <f>AND(#REF!,"AAAAAF01/w4=")</f>
        <v>#REF!</v>
      </c>
      <c r="P22" t="e">
        <f>IF(#REF!,"AAAAAF01/w8=",0)</f>
        <v>#REF!</v>
      </c>
      <c r="Q22" t="e">
        <f>AND(#REF!,"AAAAAF01/xA=")</f>
        <v>#REF!</v>
      </c>
      <c r="R22" t="e">
        <f>AND(#REF!,"AAAAAF01/xE=")</f>
        <v>#REF!</v>
      </c>
      <c r="S22" t="e">
        <f>AND(#REF!,"AAAAAF01/xI=")</f>
        <v>#REF!</v>
      </c>
      <c r="T22" t="e">
        <f>AND(#REF!,"AAAAAF01/xM=")</f>
        <v>#REF!</v>
      </c>
      <c r="U22" t="e">
        <f>AND(#REF!,"AAAAAF01/xQ=")</f>
        <v>#REF!</v>
      </c>
      <c r="V22" t="e">
        <f>AND(#REF!,"AAAAAF01/xU=")</f>
        <v>#REF!</v>
      </c>
      <c r="W22" t="e">
        <f>AND(#REF!,"AAAAAF01/xY=")</f>
        <v>#REF!</v>
      </c>
      <c r="X22" t="e">
        <f>AND(#REF!,"AAAAAF01/xc=")</f>
        <v>#REF!</v>
      </c>
      <c r="Y22" t="e">
        <f>IF(#REF!,"AAAAAF01/xg=",0)</f>
        <v>#REF!</v>
      </c>
      <c r="Z22" t="e">
        <f>AND(#REF!,"AAAAAF01/xk=")</f>
        <v>#REF!</v>
      </c>
      <c r="AA22" t="e">
        <f>AND(#REF!,"AAAAAF01/xo=")</f>
        <v>#REF!</v>
      </c>
      <c r="AB22" t="e">
        <f>AND(#REF!,"AAAAAF01/xs=")</f>
        <v>#REF!</v>
      </c>
      <c r="AC22" t="e">
        <f>AND(#REF!,"AAAAAF01/xw=")</f>
        <v>#REF!</v>
      </c>
      <c r="AD22" t="e">
        <f>AND(#REF!,"AAAAAF01/x0=")</f>
        <v>#REF!</v>
      </c>
      <c r="AE22" t="e">
        <f>AND(#REF!,"AAAAAF01/x4=")</f>
        <v>#REF!</v>
      </c>
      <c r="AF22" t="e">
        <f>AND(#REF!,"AAAAAF01/x8=")</f>
        <v>#REF!</v>
      </c>
      <c r="AG22" t="e">
        <f>AND(#REF!,"AAAAAF01/yA=")</f>
        <v>#REF!</v>
      </c>
      <c r="AH22" t="e">
        <f>IF(#REF!,"AAAAAF01/yE=",0)</f>
        <v>#REF!</v>
      </c>
      <c r="AI22" t="e">
        <f>AND(#REF!,"AAAAAF01/yI=")</f>
        <v>#REF!</v>
      </c>
      <c r="AJ22" t="e">
        <f>AND(#REF!,"AAAAAF01/yM=")</f>
        <v>#REF!</v>
      </c>
      <c r="AK22" t="e">
        <f>AND(#REF!,"AAAAAF01/yQ=")</f>
        <v>#REF!</v>
      </c>
      <c r="AL22" t="e">
        <f>AND(#REF!,"AAAAAF01/yU=")</f>
        <v>#REF!</v>
      </c>
      <c r="AM22" t="e">
        <f>AND(#REF!,"AAAAAF01/yY=")</f>
        <v>#REF!</v>
      </c>
      <c r="AN22" t="e">
        <f>AND(#REF!,"AAAAAF01/yc=")</f>
        <v>#REF!</v>
      </c>
      <c r="AO22" t="e">
        <f>AND(#REF!,"AAAAAF01/yg=")</f>
        <v>#REF!</v>
      </c>
      <c r="AP22" t="e">
        <f>AND(#REF!,"AAAAAF01/yk=")</f>
        <v>#REF!</v>
      </c>
      <c r="AQ22" t="e">
        <f>IF(#REF!,"AAAAAF01/yo=",0)</f>
        <v>#REF!</v>
      </c>
      <c r="AR22" t="e">
        <f>AND(#REF!,"AAAAAF01/ys=")</f>
        <v>#REF!</v>
      </c>
      <c r="AS22" t="e">
        <f>AND(#REF!,"AAAAAF01/yw=")</f>
        <v>#REF!</v>
      </c>
      <c r="AT22" t="e">
        <f>AND(#REF!,"AAAAAF01/y0=")</f>
        <v>#REF!</v>
      </c>
      <c r="AU22" t="e">
        <f>AND(#REF!,"AAAAAF01/y4=")</f>
        <v>#REF!</v>
      </c>
      <c r="AV22" t="e">
        <f>AND(#REF!,"AAAAAF01/y8=")</f>
        <v>#REF!</v>
      </c>
      <c r="AW22" t="e">
        <f>AND(#REF!,"AAAAAF01/zA=")</f>
        <v>#REF!</v>
      </c>
      <c r="AX22" t="e">
        <f>AND(#REF!,"AAAAAF01/zE=")</f>
        <v>#REF!</v>
      </c>
      <c r="AY22" t="e">
        <f>AND(#REF!,"AAAAAF01/zI=")</f>
        <v>#REF!</v>
      </c>
      <c r="AZ22" t="e">
        <f>IF(#REF!,"AAAAAF01/zM=",0)</f>
        <v>#REF!</v>
      </c>
      <c r="BA22" t="e">
        <f>AND(#REF!,"AAAAAF01/zQ=")</f>
        <v>#REF!</v>
      </c>
      <c r="BB22" t="e">
        <f>AND(#REF!,"AAAAAF01/zU=")</f>
        <v>#REF!</v>
      </c>
      <c r="BC22" t="e">
        <f>AND(#REF!,"AAAAAF01/zY=")</f>
        <v>#REF!</v>
      </c>
      <c r="BD22" t="e">
        <f>AND(#REF!,"AAAAAF01/zc=")</f>
        <v>#REF!</v>
      </c>
      <c r="BE22" t="e">
        <f>AND(#REF!,"AAAAAF01/zg=")</f>
        <v>#REF!</v>
      </c>
      <c r="BF22" t="e">
        <f>AND(#REF!,"AAAAAF01/zk=")</f>
        <v>#REF!</v>
      </c>
      <c r="BG22" t="e">
        <f>AND(#REF!,"AAAAAF01/zo=")</f>
        <v>#REF!</v>
      </c>
      <c r="BH22" t="e">
        <f>AND(#REF!,"AAAAAF01/zs=")</f>
        <v>#REF!</v>
      </c>
      <c r="BI22" t="e">
        <f>IF(#REF!,"AAAAAF01/zw=",0)</f>
        <v>#REF!</v>
      </c>
      <c r="BJ22" t="e">
        <f>AND(#REF!,"AAAAAF01/z0=")</f>
        <v>#REF!</v>
      </c>
      <c r="BK22" t="e">
        <f>AND(#REF!,"AAAAAF01/z4=")</f>
        <v>#REF!</v>
      </c>
      <c r="BL22" t="e">
        <f>AND(#REF!,"AAAAAF01/z8=")</f>
        <v>#REF!</v>
      </c>
      <c r="BM22" t="e">
        <f>AND(#REF!,"AAAAAF01/0A=")</f>
        <v>#REF!</v>
      </c>
      <c r="BN22" t="e">
        <f>AND(#REF!,"AAAAAF01/0E=")</f>
        <v>#REF!</v>
      </c>
      <c r="BO22" t="e">
        <f>AND(#REF!,"AAAAAF01/0I=")</f>
        <v>#REF!</v>
      </c>
      <c r="BP22" t="e">
        <f>AND(#REF!,"AAAAAF01/0M=")</f>
        <v>#REF!</v>
      </c>
      <c r="BQ22" t="e">
        <f>AND(#REF!,"AAAAAF01/0Q=")</f>
        <v>#REF!</v>
      </c>
      <c r="BR22" t="e">
        <f>IF(#REF!,"AAAAAF01/0U=",0)</f>
        <v>#REF!</v>
      </c>
      <c r="BS22" t="e">
        <f>AND(#REF!,"AAAAAF01/0Y=")</f>
        <v>#REF!</v>
      </c>
      <c r="BT22" t="e">
        <f>AND(#REF!,"AAAAAF01/0c=")</f>
        <v>#REF!</v>
      </c>
      <c r="BU22" t="e">
        <f>AND(#REF!,"AAAAAF01/0g=")</f>
        <v>#REF!</v>
      </c>
      <c r="BV22" t="e">
        <f>AND(#REF!,"AAAAAF01/0k=")</f>
        <v>#REF!</v>
      </c>
      <c r="BW22" t="e">
        <f>AND(#REF!,"AAAAAF01/0o=")</f>
        <v>#REF!</v>
      </c>
      <c r="BX22" t="e">
        <f>AND(#REF!,"AAAAAF01/0s=")</f>
        <v>#REF!</v>
      </c>
      <c r="BY22" t="e">
        <f>AND(#REF!,"AAAAAF01/0w=")</f>
        <v>#REF!</v>
      </c>
      <c r="BZ22" t="e">
        <f>AND(#REF!,"AAAAAF01/00=")</f>
        <v>#REF!</v>
      </c>
      <c r="CA22" t="e">
        <f>IF(#REF!,"AAAAAF01/04=",0)</f>
        <v>#REF!</v>
      </c>
      <c r="CB22" t="e">
        <f>AND(#REF!,"AAAAAF01/08=")</f>
        <v>#REF!</v>
      </c>
      <c r="CC22" t="e">
        <f>AND(#REF!,"AAAAAF01/1A=")</f>
        <v>#REF!</v>
      </c>
      <c r="CD22" t="e">
        <f>AND(#REF!,"AAAAAF01/1E=")</f>
        <v>#REF!</v>
      </c>
      <c r="CE22" t="e">
        <f>AND(#REF!,"AAAAAF01/1I=")</f>
        <v>#REF!</v>
      </c>
      <c r="CF22" t="e">
        <f>AND(#REF!,"AAAAAF01/1M=")</f>
        <v>#REF!</v>
      </c>
      <c r="CG22" t="e">
        <f>AND(#REF!,"AAAAAF01/1Q=")</f>
        <v>#REF!</v>
      </c>
      <c r="CH22" t="e">
        <f>AND(#REF!,"AAAAAF01/1U=")</f>
        <v>#REF!</v>
      </c>
      <c r="CI22" t="e">
        <f>AND(#REF!,"AAAAAF01/1Y=")</f>
        <v>#REF!</v>
      </c>
      <c r="CJ22" t="e">
        <f>IF(#REF!,"AAAAAF01/1c=",0)</f>
        <v>#REF!</v>
      </c>
      <c r="CK22" t="e">
        <f>AND(#REF!,"AAAAAF01/1g=")</f>
        <v>#REF!</v>
      </c>
      <c r="CL22" t="e">
        <f>AND(#REF!,"AAAAAF01/1k=")</f>
        <v>#REF!</v>
      </c>
      <c r="CM22" t="e">
        <f>AND(#REF!,"AAAAAF01/1o=")</f>
        <v>#REF!</v>
      </c>
      <c r="CN22" t="e">
        <f>AND(#REF!,"AAAAAF01/1s=")</f>
        <v>#REF!</v>
      </c>
      <c r="CO22" t="e">
        <f>AND(#REF!,"AAAAAF01/1w=")</f>
        <v>#REF!</v>
      </c>
      <c r="CP22" t="e">
        <f>AND(#REF!,"AAAAAF01/10=")</f>
        <v>#REF!</v>
      </c>
      <c r="CQ22" t="e">
        <f>AND(#REF!,"AAAAAF01/14=")</f>
        <v>#REF!</v>
      </c>
      <c r="CR22" t="e">
        <f>AND(#REF!,"AAAAAF01/18=")</f>
        <v>#REF!</v>
      </c>
      <c r="CS22" t="e">
        <f>IF(#REF!,"AAAAAF01/2A=",0)</f>
        <v>#REF!</v>
      </c>
      <c r="CT22" t="e">
        <f>AND(#REF!,"AAAAAF01/2E=")</f>
        <v>#REF!</v>
      </c>
      <c r="CU22" t="e">
        <f>AND(#REF!,"AAAAAF01/2I=")</f>
        <v>#REF!</v>
      </c>
      <c r="CV22" t="e">
        <f>AND(#REF!,"AAAAAF01/2M=")</f>
        <v>#REF!</v>
      </c>
      <c r="CW22" t="e">
        <f>AND(#REF!,"AAAAAF01/2Q=")</f>
        <v>#REF!</v>
      </c>
      <c r="CX22" t="e">
        <f>AND(#REF!,"AAAAAF01/2U=")</f>
        <v>#REF!</v>
      </c>
      <c r="CY22" t="e">
        <f>AND(#REF!,"AAAAAF01/2Y=")</f>
        <v>#REF!</v>
      </c>
      <c r="CZ22" t="e">
        <f>AND(#REF!,"AAAAAF01/2c=")</f>
        <v>#REF!</v>
      </c>
      <c r="DA22" t="e">
        <f>AND(#REF!,"AAAAAF01/2g=")</f>
        <v>#REF!</v>
      </c>
      <c r="DB22" t="e">
        <f>IF(#REF!,"AAAAAF01/2k=",0)</f>
        <v>#REF!</v>
      </c>
      <c r="DC22" t="e">
        <f>AND(#REF!,"AAAAAF01/2o=")</f>
        <v>#REF!</v>
      </c>
      <c r="DD22" t="e">
        <f>AND(#REF!,"AAAAAF01/2s=")</f>
        <v>#REF!</v>
      </c>
      <c r="DE22" t="e">
        <f>AND(#REF!,"AAAAAF01/2w=")</f>
        <v>#REF!</v>
      </c>
      <c r="DF22" t="e">
        <f>AND(#REF!,"AAAAAF01/20=")</f>
        <v>#REF!</v>
      </c>
      <c r="DG22" t="e">
        <f>AND(#REF!,"AAAAAF01/24=")</f>
        <v>#REF!</v>
      </c>
      <c r="DH22" t="e">
        <f>AND(#REF!,"AAAAAF01/28=")</f>
        <v>#REF!</v>
      </c>
      <c r="DI22" t="e">
        <f>AND(#REF!,"AAAAAF01/3A=")</f>
        <v>#REF!</v>
      </c>
      <c r="DJ22" t="e">
        <f>AND(#REF!,"AAAAAF01/3E=")</f>
        <v>#REF!</v>
      </c>
      <c r="DK22" t="e">
        <f>IF(#REF!,"AAAAAF01/3I=",0)</f>
        <v>#REF!</v>
      </c>
      <c r="DL22" t="e">
        <f>AND(#REF!,"AAAAAF01/3M=")</f>
        <v>#REF!</v>
      </c>
      <c r="DM22" t="e">
        <f>AND(#REF!,"AAAAAF01/3Q=")</f>
        <v>#REF!</v>
      </c>
      <c r="DN22" t="e">
        <f>AND(#REF!,"AAAAAF01/3U=")</f>
        <v>#REF!</v>
      </c>
      <c r="DO22" t="e">
        <f>AND(#REF!,"AAAAAF01/3Y=")</f>
        <v>#REF!</v>
      </c>
      <c r="DP22" t="e">
        <f>AND(#REF!,"AAAAAF01/3c=")</f>
        <v>#REF!</v>
      </c>
      <c r="DQ22" t="e">
        <f>AND(#REF!,"AAAAAF01/3g=")</f>
        <v>#REF!</v>
      </c>
      <c r="DR22" t="e">
        <f>AND(#REF!,"AAAAAF01/3k=")</f>
        <v>#REF!</v>
      </c>
      <c r="DS22" t="e">
        <f>AND(#REF!,"AAAAAF01/3o=")</f>
        <v>#REF!</v>
      </c>
      <c r="DT22" t="e">
        <f>IF(#REF!,"AAAAAF01/3s=",0)</f>
        <v>#REF!</v>
      </c>
      <c r="DU22" t="e">
        <f>AND(#REF!,"AAAAAF01/3w=")</f>
        <v>#REF!</v>
      </c>
      <c r="DV22" t="e">
        <f>AND(#REF!,"AAAAAF01/30=")</f>
        <v>#REF!</v>
      </c>
      <c r="DW22" t="e">
        <f>AND(#REF!,"AAAAAF01/34=")</f>
        <v>#REF!</v>
      </c>
      <c r="DX22" t="e">
        <f>AND(#REF!,"AAAAAF01/38=")</f>
        <v>#REF!</v>
      </c>
      <c r="DY22" t="e">
        <f>AND(#REF!,"AAAAAF01/4A=")</f>
        <v>#REF!</v>
      </c>
      <c r="DZ22" t="e">
        <f>AND(#REF!,"AAAAAF01/4E=")</f>
        <v>#REF!</v>
      </c>
      <c r="EA22" t="e">
        <f>AND(#REF!,"AAAAAF01/4I=")</f>
        <v>#REF!</v>
      </c>
      <c r="EB22" t="e">
        <f>AND(#REF!,"AAAAAF01/4M=")</f>
        <v>#REF!</v>
      </c>
      <c r="EC22" t="e">
        <f>IF(#REF!,"AAAAAF01/4Q=",0)</f>
        <v>#REF!</v>
      </c>
      <c r="ED22" t="e">
        <f>IF(#REF!,"AAAAAF01/4U=",0)</f>
        <v>#REF!</v>
      </c>
      <c r="EE22" t="e">
        <f>IF(#REF!,"AAAAAF01/4Y=",0)</f>
        <v>#REF!</v>
      </c>
      <c r="EF22" t="e">
        <f>IF(#REF!,"AAAAAF01/4c=",0)</f>
        <v>#REF!</v>
      </c>
      <c r="EG22" t="e">
        <f>IF(#REF!,"AAAAAF01/4g=",0)</f>
        <v>#REF!</v>
      </c>
      <c r="EH22" t="e">
        <f>IF(#REF!,"AAAAAF01/4k=",0)</f>
        <v>#REF!</v>
      </c>
      <c r="EI22" t="e">
        <f>IF(#REF!,"AAAAAF01/4o=",0)</f>
        <v>#REF!</v>
      </c>
      <c r="EJ22" t="e">
        <f>IF(#REF!,"AAAAAF01/4s=",0)</f>
        <v>#REF!</v>
      </c>
      <c r="EK22" t="e">
        <f>IF(#REF!,"AAAAAF01/4w=",0)</f>
        <v>#REF!</v>
      </c>
      <c r="EL22" t="e">
        <f>IF(#REF!,"AAAAAF01/40=",0)</f>
        <v>#REF!</v>
      </c>
      <c r="EM22" t="e">
        <f>IF(#REF!,"AAAAAF01/44=",0)</f>
        <v>#REF!</v>
      </c>
      <c r="EN22" t="e">
        <f>IF(#REF!,"AAAAAF01/48=",0)</f>
        <v>#REF!</v>
      </c>
      <c r="EO22" t="e">
        <f>IF(#REF!,"AAAAAF01/5A=",0)</f>
        <v>#REF!</v>
      </c>
      <c r="EP22" t="e">
        <f>IF(Quices!#REF!,"AAAAAF01/5E=",0)</f>
        <v>#REF!</v>
      </c>
      <c r="EQ22" t="e">
        <f>AND(Quices!#REF!,"AAAAAF01/5I=")</f>
        <v>#REF!</v>
      </c>
      <c r="ER22" t="e">
        <f>AND(Quices!#REF!,"AAAAAF01/5M=")</f>
        <v>#REF!</v>
      </c>
      <c r="ES22" t="e">
        <f>AND(Quices!#REF!,"AAAAAF01/5Q=")</f>
        <v>#REF!</v>
      </c>
      <c r="ET22" t="e">
        <f>AND(Quices!#REF!,"AAAAAF01/5U=")</f>
        <v>#REF!</v>
      </c>
      <c r="EU22" t="e">
        <f>AND(Quices!#REF!,"AAAAAF01/5Y=")</f>
        <v>#REF!</v>
      </c>
      <c r="EV22" t="e">
        <f>AND(Quices!#REF!,"AAAAAF01/5c=")</f>
        <v>#REF!</v>
      </c>
      <c r="EW22" t="e">
        <f>AND(Quices!#REF!,"AAAAAF01/5g=")</f>
        <v>#REF!</v>
      </c>
      <c r="EX22" t="e">
        <f>AND(Quices!#REF!,"AAAAAF01/5k=")</f>
        <v>#REF!</v>
      </c>
      <c r="EY22" t="e">
        <f>IF(Quices!#REF!,"AAAAAF01/5o=",0)</f>
        <v>#REF!</v>
      </c>
      <c r="EZ22" t="e">
        <f>AND(Quices!#REF!,"AAAAAF01/5s=")</f>
        <v>#REF!</v>
      </c>
      <c r="FA22" t="e">
        <f>AND(Quices!#REF!,"AAAAAF01/5w=")</f>
        <v>#REF!</v>
      </c>
      <c r="FB22" t="e">
        <f>AND(Quices!#REF!,"AAAAAF01/50=")</f>
        <v>#REF!</v>
      </c>
      <c r="FC22" t="e">
        <f>AND(Quices!#REF!,"AAAAAF01/54=")</f>
        <v>#REF!</v>
      </c>
      <c r="FD22" t="e">
        <f>AND(Quices!#REF!,"AAAAAF01/58=")</f>
        <v>#REF!</v>
      </c>
      <c r="FE22" t="e">
        <f>AND(Quices!#REF!,"AAAAAF01/6A=")</f>
        <v>#REF!</v>
      </c>
      <c r="FF22" t="e">
        <f>AND(Quices!#REF!,"AAAAAF01/6E=")</f>
        <v>#REF!</v>
      </c>
      <c r="FG22" t="e">
        <f>AND(Quices!#REF!,"AAAAAF01/6I=")</f>
        <v>#REF!</v>
      </c>
      <c r="FH22" t="e">
        <f>IF(Quices!#REF!,"AAAAAF01/6M=",0)</f>
        <v>#REF!</v>
      </c>
      <c r="FI22" t="e">
        <f>AND(Quices!#REF!,"AAAAAF01/6Q=")</f>
        <v>#REF!</v>
      </c>
      <c r="FJ22" t="e">
        <f>AND(Quices!#REF!,"AAAAAF01/6U=")</f>
        <v>#REF!</v>
      </c>
      <c r="FK22" t="e">
        <f>AND(Quices!#REF!,"AAAAAF01/6Y=")</f>
        <v>#REF!</v>
      </c>
      <c r="FL22" t="e">
        <f>AND(Quices!#REF!,"AAAAAF01/6c=")</f>
        <v>#REF!</v>
      </c>
      <c r="FM22" t="e">
        <f>AND(Quices!#REF!,"AAAAAF01/6g=")</f>
        <v>#REF!</v>
      </c>
      <c r="FN22" t="e">
        <f>AND(Quices!#REF!,"AAAAAF01/6k=")</f>
        <v>#REF!</v>
      </c>
      <c r="FO22" t="e">
        <f>AND(Quices!#REF!,"AAAAAF01/6o=")</f>
        <v>#REF!</v>
      </c>
      <c r="FP22" t="e">
        <f>AND(Quices!#REF!,"AAAAAF01/6s=")</f>
        <v>#REF!</v>
      </c>
      <c r="FQ22" t="e">
        <f>IF(Quices!#REF!,"AAAAAF01/6w=",0)</f>
        <v>#REF!</v>
      </c>
      <c r="FR22" t="e">
        <f>AND(Quices!#REF!,"AAAAAF01/60=")</f>
        <v>#REF!</v>
      </c>
      <c r="FS22" t="e">
        <f>AND(Quices!#REF!,"AAAAAF01/64=")</f>
        <v>#REF!</v>
      </c>
      <c r="FT22" t="e">
        <f>AND(Quices!#REF!,"AAAAAF01/68=")</f>
        <v>#REF!</v>
      </c>
      <c r="FU22" t="e">
        <f>AND(Quices!#REF!,"AAAAAF01/7A=")</f>
        <v>#REF!</v>
      </c>
      <c r="FV22" t="e">
        <f>AND(Quices!#REF!,"AAAAAF01/7E=")</f>
        <v>#REF!</v>
      </c>
      <c r="FW22" t="e">
        <f>AND(Quices!#REF!,"AAAAAF01/7I=")</f>
        <v>#REF!</v>
      </c>
      <c r="FX22" t="e">
        <f>AND(Quices!#REF!,"AAAAAF01/7M=")</f>
        <v>#REF!</v>
      </c>
      <c r="FY22" t="e">
        <f>AND(Quices!#REF!,"AAAAAF01/7Q=")</f>
        <v>#REF!</v>
      </c>
      <c r="FZ22" t="e">
        <f>IF(Quices!#REF!,"AAAAAF01/7U=",0)</f>
        <v>#REF!</v>
      </c>
      <c r="GA22" t="e">
        <f>AND(Quices!#REF!,"AAAAAF01/7Y=")</f>
        <v>#REF!</v>
      </c>
      <c r="GB22" t="e">
        <f>AND(Quices!#REF!,"AAAAAF01/7c=")</f>
        <v>#REF!</v>
      </c>
      <c r="GC22" t="e">
        <f>AND(Quices!#REF!,"AAAAAF01/7g=")</f>
        <v>#REF!</v>
      </c>
      <c r="GD22" t="e">
        <f>AND(Quices!#REF!,"AAAAAF01/7k=")</f>
        <v>#REF!</v>
      </c>
      <c r="GE22" t="e">
        <f>AND(Quices!#REF!,"AAAAAF01/7o=")</f>
        <v>#REF!</v>
      </c>
      <c r="GF22" t="e">
        <f>AND(Quices!#REF!,"AAAAAF01/7s=")</f>
        <v>#REF!</v>
      </c>
      <c r="GG22" t="e">
        <f>AND(Quices!#REF!,"AAAAAF01/7w=")</f>
        <v>#REF!</v>
      </c>
      <c r="GH22" t="e">
        <f>AND(Quices!#REF!,"AAAAAF01/70=")</f>
        <v>#REF!</v>
      </c>
      <c r="GI22">
        <f>IF(Quices!1:1,"AAAAAF01/74=",0)</f>
        <v>0</v>
      </c>
      <c r="GJ22" t="e">
        <f>AND(Quices!A1,"AAAAAF01/78=")</f>
        <v>#VALUE!</v>
      </c>
      <c r="GK22" t="e">
        <f>AND(Quices!#REF!,"AAAAAF01/8A=")</f>
        <v>#REF!</v>
      </c>
      <c r="GL22" t="e">
        <f>AND(Quices!B1,"AAAAAF01/8E=")</f>
        <v>#VALUE!</v>
      </c>
      <c r="GM22" t="e">
        <f>AND(Quices!C1,"AAAAAF01/8I=")</f>
        <v>#VALUE!</v>
      </c>
      <c r="GN22" t="e">
        <f>AND(Quices!D1,"AAAAAF01/8M=")</f>
        <v>#VALUE!</v>
      </c>
      <c r="GO22" t="e">
        <f>AND(Quices!#REF!,"AAAAAF01/8Q=")</f>
        <v>#REF!</v>
      </c>
      <c r="GP22" t="e">
        <f>AND(Quices!#REF!,"AAAAAF01/8U=")</f>
        <v>#REF!</v>
      </c>
      <c r="GQ22" t="e">
        <f>AND(Quices!F1,"AAAAAF01/8Y=")</f>
        <v>#VALUE!</v>
      </c>
      <c r="GR22">
        <f>IF(Quices!2:2,"AAAAAF01/8c=",0)</f>
        <v>0</v>
      </c>
      <c r="GS22" t="e">
        <f>AND(Quices!A2,"AAAAAF01/8g=")</f>
        <v>#VALUE!</v>
      </c>
      <c r="GT22" t="e">
        <f>AND(Quices!#REF!,"AAAAAF01/8k=")</f>
        <v>#REF!</v>
      </c>
      <c r="GU22" t="e">
        <f>AND(Quices!B2,"AAAAAF01/8o=")</f>
        <v>#VALUE!</v>
      </c>
      <c r="GV22" t="e">
        <f>AND(Quices!C2,"AAAAAF01/8s=")</f>
        <v>#VALUE!</v>
      </c>
      <c r="GW22" t="e">
        <f>AND(Quices!D2,"AAAAAF01/8w=")</f>
        <v>#VALUE!</v>
      </c>
      <c r="GX22" t="e">
        <f>AND(Quices!#REF!,"AAAAAF01/80=")</f>
        <v>#REF!</v>
      </c>
      <c r="GY22" t="e">
        <f>AND(Quices!#REF!,"AAAAAF01/84=")</f>
        <v>#REF!</v>
      </c>
      <c r="GZ22" t="e">
        <f>AND(Quices!F2,"AAAAAF01/88=")</f>
        <v>#VALUE!</v>
      </c>
      <c r="HA22">
        <f>IF(Quices!3:3,"AAAAAF01/9A=",0)</f>
        <v>0</v>
      </c>
      <c r="HB22" t="e">
        <f>AND(Quices!A3,"AAAAAF01/9E=")</f>
        <v>#VALUE!</v>
      </c>
      <c r="HC22" t="e">
        <f>AND(Quices!#REF!,"AAAAAF01/9I=")</f>
        <v>#REF!</v>
      </c>
      <c r="HD22" t="e">
        <f>AND(Quices!B3,"AAAAAF01/9M=")</f>
        <v>#VALUE!</v>
      </c>
      <c r="HE22" t="e">
        <f>AND(Quices!C3,"AAAAAF01/9Q=")</f>
        <v>#VALUE!</v>
      </c>
      <c r="HF22" t="e">
        <f>AND(Quices!D3,"AAAAAF01/9U=")</f>
        <v>#VALUE!</v>
      </c>
      <c r="HG22" t="e">
        <f>AND(Quices!#REF!,"AAAAAF01/9Y=")</f>
        <v>#REF!</v>
      </c>
      <c r="HH22" t="e">
        <f>AND(Quices!#REF!,"AAAAAF01/9c=")</f>
        <v>#REF!</v>
      </c>
      <c r="HI22" t="e">
        <f>AND(Quices!F3,"AAAAAF01/9g=")</f>
        <v>#VALUE!</v>
      </c>
      <c r="HJ22">
        <f>IF(Quices!4:4,"AAAAAF01/9k=",0)</f>
        <v>0</v>
      </c>
      <c r="HK22" t="e">
        <f>AND(Quices!A4,"AAAAAF01/9o=")</f>
        <v>#VALUE!</v>
      </c>
      <c r="HL22" t="e">
        <f>AND(Quices!#REF!,"AAAAAF01/9s=")</f>
        <v>#REF!</v>
      </c>
      <c r="HM22" t="b">
        <f>AND(Quices!B4,"AAAAAF01/9w=")</f>
        <v>1</v>
      </c>
      <c r="HN22" t="b">
        <f>AND(Quices!C4,"AAAAAF01/90=")</f>
        <v>0</v>
      </c>
      <c r="HO22" t="b">
        <f>AND(Quices!D4,"AAAAAF01/94=")</f>
        <v>1</v>
      </c>
      <c r="HP22" t="e">
        <f>AND(Quices!#REF!,"AAAAAF01/98=")</f>
        <v>#REF!</v>
      </c>
      <c r="HQ22" t="e">
        <f>AND(Quices!#REF!,"AAAAAF01/+A=")</f>
        <v>#REF!</v>
      </c>
      <c r="HR22" t="b">
        <f>AND(Quices!F4,"AAAAAF01/+E=")</f>
        <v>1</v>
      </c>
      <c r="HS22">
        <f>IF(Quices!5:5,"AAAAAF01/+I=",0)</f>
        <v>0</v>
      </c>
      <c r="HT22" t="e">
        <f>AND(Quices!A5,"AAAAAF01/+M=")</f>
        <v>#VALUE!</v>
      </c>
      <c r="HU22" t="e">
        <f>AND(Quices!#REF!,"AAAAAF01/+Q=")</f>
        <v>#REF!</v>
      </c>
      <c r="HV22" t="b">
        <f>AND(Quices!B5,"AAAAAF01/+U=")</f>
        <v>1</v>
      </c>
      <c r="HW22" t="b">
        <f>AND(Quices!C5,"AAAAAF01/+Y=")</f>
        <v>0</v>
      </c>
      <c r="HX22" t="b">
        <f>AND(Quices!D5,"AAAAAF01/+c=")</f>
        <v>1</v>
      </c>
      <c r="HY22" t="e">
        <f>AND(Quices!#REF!,"AAAAAF01/+g=")</f>
        <v>#REF!</v>
      </c>
      <c r="HZ22" t="e">
        <f>AND(Quices!#REF!,"AAAAAF01/+k=")</f>
        <v>#REF!</v>
      </c>
      <c r="IA22" t="b">
        <f>AND(Quices!F5,"AAAAAF01/+o=")</f>
        <v>1</v>
      </c>
      <c r="IB22">
        <f>IF(Quices!6:6,"AAAAAF01/+s=",0)</f>
        <v>0</v>
      </c>
      <c r="IC22" t="e">
        <f>AND(Quices!A6,"AAAAAF01/+w=")</f>
        <v>#VALUE!</v>
      </c>
      <c r="ID22" t="e">
        <f>AND(Quices!#REF!,"AAAAAF01/+0=")</f>
        <v>#REF!</v>
      </c>
      <c r="IE22" t="b">
        <f>AND(Quices!B6,"AAAAAF01/+4=")</f>
        <v>0</v>
      </c>
      <c r="IF22" t="b">
        <f>AND(Quices!C6,"AAAAAF01/+8=")</f>
        <v>0</v>
      </c>
      <c r="IG22" t="b">
        <f>AND(Quices!D6,"AAAAAF01//A=")</f>
        <v>0</v>
      </c>
      <c r="IH22" t="e">
        <f>AND(Quices!#REF!,"AAAAAF01//E=")</f>
        <v>#REF!</v>
      </c>
      <c r="II22" t="e">
        <f>AND(Quices!#REF!,"AAAAAF01//I=")</f>
        <v>#REF!</v>
      </c>
      <c r="IJ22" t="b">
        <f>AND(Quices!F6,"AAAAAF01//M=")</f>
        <v>0</v>
      </c>
      <c r="IK22" t="e">
        <f>IF(Quices!#REF!,"AAAAAF01//Q=",0)</f>
        <v>#REF!</v>
      </c>
      <c r="IL22" t="e">
        <f>AND(Quices!#REF!,"AAAAAF01//U=")</f>
        <v>#REF!</v>
      </c>
      <c r="IM22" t="e">
        <f>AND(Quices!#REF!,"AAAAAF01//Y=")</f>
        <v>#REF!</v>
      </c>
      <c r="IN22" t="e">
        <f>AND(Quices!#REF!,"AAAAAF01//c=")</f>
        <v>#REF!</v>
      </c>
      <c r="IO22" t="e">
        <f>AND(Quices!#REF!,"AAAAAF01//g=")</f>
        <v>#REF!</v>
      </c>
      <c r="IP22" t="e">
        <f>AND(Quices!#REF!,"AAAAAF01//k=")</f>
        <v>#REF!</v>
      </c>
      <c r="IQ22" t="e">
        <f>AND(Quices!#REF!,"AAAAAF01//o=")</f>
        <v>#REF!</v>
      </c>
      <c r="IR22" t="e">
        <f>AND(Quices!#REF!,"AAAAAF01//s=")</f>
        <v>#REF!</v>
      </c>
      <c r="IS22" t="e">
        <f>AND(Quices!#REF!,"AAAAAF01//w=")</f>
        <v>#REF!</v>
      </c>
      <c r="IT22">
        <f>IF(Quices!7:7,"AAAAAF01//0=",0)</f>
        <v>0</v>
      </c>
      <c r="IU22" t="e">
        <f>AND(Quices!A7,"AAAAAF01//4=")</f>
        <v>#VALUE!</v>
      </c>
      <c r="IV22" t="e">
        <f>AND(Quices!#REF!,"AAAAAF01//8=")</f>
        <v>#REF!</v>
      </c>
    </row>
    <row r="23" spans="1:256" x14ac:dyDescent="0.35">
      <c r="A23" t="b">
        <f>AND(Quices!B7,"AAAAAHd//QA=")</f>
        <v>1</v>
      </c>
      <c r="B23" t="b">
        <f>AND(Quices!C7,"AAAAAHd//QE=")</f>
        <v>0</v>
      </c>
      <c r="C23" t="b">
        <f>AND(Quices!D7,"AAAAAHd//QI=")</f>
        <v>1</v>
      </c>
      <c r="D23" t="e">
        <f>AND(Quices!#REF!,"AAAAAHd//QM=")</f>
        <v>#REF!</v>
      </c>
      <c r="E23" t="e">
        <f>AND(Quices!#REF!,"AAAAAHd//QQ=")</f>
        <v>#REF!</v>
      </c>
      <c r="F23" t="b">
        <f>AND(Quices!F7,"AAAAAHd//QU=")</f>
        <v>1</v>
      </c>
      <c r="G23">
        <f>IF(Quices!8:8,"AAAAAHd//QY=",0)</f>
        <v>0</v>
      </c>
      <c r="H23" t="e">
        <f>AND(Quices!A8,"AAAAAHd//Qc=")</f>
        <v>#VALUE!</v>
      </c>
      <c r="I23" t="e">
        <f>AND(Quices!#REF!,"AAAAAHd//Qg=")</f>
        <v>#REF!</v>
      </c>
      <c r="J23" t="b">
        <f>AND(Quices!B8,"AAAAAHd//Qk=")</f>
        <v>1</v>
      </c>
      <c r="K23" t="b">
        <f>AND(Quices!C8,"AAAAAHd//Qo=")</f>
        <v>0</v>
      </c>
      <c r="L23" t="b">
        <f>AND(Quices!D8,"AAAAAHd//Qs=")</f>
        <v>1</v>
      </c>
      <c r="M23" t="e">
        <f>AND(Quices!#REF!,"AAAAAHd//Qw=")</f>
        <v>#REF!</v>
      </c>
      <c r="N23" t="e">
        <f>AND(Quices!#REF!,"AAAAAHd//Q0=")</f>
        <v>#REF!</v>
      </c>
      <c r="O23" t="b">
        <f>AND(Quices!F8,"AAAAAHd//Q4=")</f>
        <v>1</v>
      </c>
      <c r="P23">
        <f>IF(Quices!9:9,"AAAAAHd//Q8=",0)</f>
        <v>0</v>
      </c>
      <c r="Q23" t="e">
        <f>AND(Quices!A9,"AAAAAHd//RA=")</f>
        <v>#VALUE!</v>
      </c>
      <c r="R23" t="e">
        <f>AND(Quices!#REF!,"AAAAAHd//RE=")</f>
        <v>#REF!</v>
      </c>
      <c r="S23" t="b">
        <f>AND(Quices!B9,"AAAAAHd//RI=")</f>
        <v>1</v>
      </c>
      <c r="T23" t="b">
        <f>AND(Quices!C9,"AAAAAHd//RM=")</f>
        <v>0</v>
      </c>
      <c r="U23" t="b">
        <f>AND(Quices!D9,"AAAAAHd//RQ=")</f>
        <v>1</v>
      </c>
      <c r="V23" t="e">
        <f>AND(Quices!#REF!,"AAAAAHd//RU=")</f>
        <v>#REF!</v>
      </c>
      <c r="W23" t="e">
        <f>AND(Quices!#REF!,"AAAAAHd//RY=")</f>
        <v>#REF!</v>
      </c>
      <c r="X23" t="b">
        <f>AND(Quices!F9,"AAAAAHd//Rc=")</f>
        <v>1</v>
      </c>
      <c r="Y23">
        <f>IF(Quices!10:10,"AAAAAHd//Rg=",0)</f>
        <v>0</v>
      </c>
      <c r="Z23" t="e">
        <f>AND(Quices!A10,"AAAAAHd//Rk=")</f>
        <v>#VALUE!</v>
      </c>
      <c r="AA23" t="e">
        <f>AND(Quices!#REF!,"AAAAAHd//Ro=")</f>
        <v>#REF!</v>
      </c>
      <c r="AB23" t="b">
        <f>AND(Quices!B10,"AAAAAHd//Rs=")</f>
        <v>1</v>
      </c>
      <c r="AC23" t="b">
        <f>AND(Quices!C10,"AAAAAHd//Rw=")</f>
        <v>0</v>
      </c>
      <c r="AD23" t="b">
        <f>AND(Quices!D10,"AAAAAHd//R0=")</f>
        <v>1</v>
      </c>
      <c r="AE23" t="e">
        <f>AND(Quices!#REF!,"AAAAAHd//R4=")</f>
        <v>#REF!</v>
      </c>
      <c r="AF23" t="e">
        <f>AND(Quices!#REF!,"AAAAAHd//R8=")</f>
        <v>#REF!</v>
      </c>
      <c r="AG23" t="b">
        <f>AND(Quices!F10,"AAAAAHd//SA=")</f>
        <v>1</v>
      </c>
      <c r="AH23">
        <f>IF(Quices!11:11,"AAAAAHd//SE=",0)</f>
        <v>0</v>
      </c>
      <c r="AI23" t="e">
        <f>AND(Quices!A11,"AAAAAHd//SI=")</f>
        <v>#VALUE!</v>
      </c>
      <c r="AJ23" t="e">
        <f>AND(Quices!#REF!,"AAAAAHd//SM=")</f>
        <v>#REF!</v>
      </c>
      <c r="AK23" t="b">
        <f>AND(Quices!B11,"AAAAAHd//SQ=")</f>
        <v>1</v>
      </c>
      <c r="AL23" t="b">
        <f>AND(Quices!C11,"AAAAAHd//SU=")</f>
        <v>0</v>
      </c>
      <c r="AM23" t="b">
        <f>AND(Quices!D11,"AAAAAHd//SY=")</f>
        <v>1</v>
      </c>
      <c r="AN23" t="e">
        <f>AND(Quices!#REF!,"AAAAAHd//Sc=")</f>
        <v>#REF!</v>
      </c>
      <c r="AO23" t="e">
        <f>AND(Quices!#REF!,"AAAAAHd//Sg=")</f>
        <v>#REF!</v>
      </c>
      <c r="AP23" t="b">
        <f>AND(Quices!F11,"AAAAAHd//Sk=")</f>
        <v>1</v>
      </c>
      <c r="AQ23">
        <f>IF(Quices!12:12,"AAAAAHd//So=",0)</f>
        <v>0</v>
      </c>
      <c r="AR23" t="e">
        <f>AND(Quices!A12,"AAAAAHd//Ss=")</f>
        <v>#VALUE!</v>
      </c>
      <c r="AS23" t="e">
        <f>AND(Quices!#REF!,"AAAAAHd//Sw=")</f>
        <v>#REF!</v>
      </c>
      <c r="AT23" t="b">
        <f>AND(Quices!B12,"AAAAAHd//S0=")</f>
        <v>1</v>
      </c>
      <c r="AU23" t="b">
        <f>AND(Quices!C12,"AAAAAHd//S4=")</f>
        <v>0</v>
      </c>
      <c r="AV23" t="b">
        <f>AND(Quices!D12,"AAAAAHd//S8=")</f>
        <v>1</v>
      </c>
      <c r="AW23" t="e">
        <f>AND(Quices!#REF!,"AAAAAHd//TA=")</f>
        <v>#REF!</v>
      </c>
      <c r="AX23" t="e">
        <f>AND(Quices!#REF!,"AAAAAHd//TE=")</f>
        <v>#REF!</v>
      </c>
      <c r="AY23" t="b">
        <f>AND(Quices!F12,"AAAAAHd//TI=")</f>
        <v>1</v>
      </c>
      <c r="AZ23">
        <f>IF(Quices!13:13,"AAAAAHd//TM=",0)</f>
        <v>0</v>
      </c>
      <c r="BA23" t="e">
        <f>AND(Quices!A13,"AAAAAHd//TQ=")</f>
        <v>#VALUE!</v>
      </c>
      <c r="BB23" t="e">
        <f>AND(Quices!#REF!,"AAAAAHd//TU=")</f>
        <v>#REF!</v>
      </c>
      <c r="BC23" t="b">
        <f>AND(Quices!B13,"AAAAAHd//TY=")</f>
        <v>1</v>
      </c>
      <c r="BD23" t="b">
        <f>AND(Quices!C13,"AAAAAHd//Tc=")</f>
        <v>0</v>
      </c>
      <c r="BE23" t="b">
        <f>AND(Quices!D13,"AAAAAHd//Tg=")</f>
        <v>1</v>
      </c>
      <c r="BF23" t="e">
        <f>AND(Quices!#REF!,"AAAAAHd//Tk=")</f>
        <v>#REF!</v>
      </c>
      <c r="BG23" t="e">
        <f>AND(Quices!#REF!,"AAAAAHd//To=")</f>
        <v>#REF!</v>
      </c>
      <c r="BH23" t="b">
        <f>AND(Quices!F13,"AAAAAHd//Ts=")</f>
        <v>1</v>
      </c>
      <c r="BI23">
        <f>IF(Quices!14:14,"AAAAAHd//Tw=",0)</f>
        <v>0</v>
      </c>
      <c r="BJ23" t="e">
        <f>AND(Quices!A14,"AAAAAHd//T0=")</f>
        <v>#VALUE!</v>
      </c>
      <c r="BK23" t="e">
        <f>AND(Quices!#REF!,"AAAAAHd//T4=")</f>
        <v>#REF!</v>
      </c>
      <c r="BL23" t="b">
        <f>AND(Quices!B14,"AAAAAHd//T8=")</f>
        <v>1</v>
      </c>
      <c r="BM23" t="b">
        <f>AND(Quices!C14,"AAAAAHd//UA=")</f>
        <v>0</v>
      </c>
      <c r="BN23" t="b">
        <f>AND(Quices!D14,"AAAAAHd//UE=")</f>
        <v>1</v>
      </c>
      <c r="BO23" t="e">
        <f>AND(Quices!#REF!,"AAAAAHd//UI=")</f>
        <v>#REF!</v>
      </c>
      <c r="BP23" t="e">
        <f>AND(Quices!#REF!,"AAAAAHd//UM=")</f>
        <v>#REF!</v>
      </c>
      <c r="BQ23" t="b">
        <f>AND(Quices!F14,"AAAAAHd//UQ=")</f>
        <v>1</v>
      </c>
      <c r="BR23">
        <f>IF(Quices!15:15,"AAAAAHd//UU=",0)</f>
        <v>0</v>
      </c>
      <c r="BS23" t="e">
        <f>AND(Quices!A15,"AAAAAHd//UY=")</f>
        <v>#VALUE!</v>
      </c>
      <c r="BT23" t="e">
        <f>AND(Quices!#REF!,"AAAAAHd//Uc=")</f>
        <v>#REF!</v>
      </c>
      <c r="BU23" t="b">
        <f>AND(Quices!B15,"AAAAAHd//Ug=")</f>
        <v>1</v>
      </c>
      <c r="BV23" t="b">
        <f>AND(Quices!C15,"AAAAAHd//Uk=")</f>
        <v>0</v>
      </c>
      <c r="BW23" t="b">
        <f>AND(Quices!D15,"AAAAAHd//Uo=")</f>
        <v>1</v>
      </c>
      <c r="BX23" t="e">
        <f>AND(Quices!#REF!,"AAAAAHd//Us=")</f>
        <v>#REF!</v>
      </c>
      <c r="BY23" t="e">
        <f>AND(Quices!#REF!,"AAAAAHd//Uw=")</f>
        <v>#REF!</v>
      </c>
      <c r="BZ23" t="b">
        <f>AND(Quices!F15,"AAAAAHd//U0=")</f>
        <v>1</v>
      </c>
      <c r="CA23">
        <f>IF(Quices!16:16,"AAAAAHd//U4=",0)</f>
        <v>0</v>
      </c>
      <c r="CB23" t="e">
        <f>AND(Quices!A16,"AAAAAHd//U8=")</f>
        <v>#VALUE!</v>
      </c>
      <c r="CC23" t="e">
        <f>AND(Quices!#REF!,"AAAAAHd//VA=")</f>
        <v>#REF!</v>
      </c>
      <c r="CD23" t="b">
        <f>AND(Quices!B16,"AAAAAHd//VE=")</f>
        <v>1</v>
      </c>
      <c r="CE23" t="b">
        <f>AND(Quices!C16,"AAAAAHd//VI=")</f>
        <v>0</v>
      </c>
      <c r="CF23" t="b">
        <f>AND(Quices!D16,"AAAAAHd//VM=")</f>
        <v>1</v>
      </c>
      <c r="CG23" t="e">
        <f>AND(Quices!#REF!,"AAAAAHd//VQ=")</f>
        <v>#REF!</v>
      </c>
      <c r="CH23" t="e">
        <f>AND(Quices!#REF!,"AAAAAHd//VU=")</f>
        <v>#REF!</v>
      </c>
      <c r="CI23" t="b">
        <f>AND(Quices!F16,"AAAAAHd//VY=")</f>
        <v>1</v>
      </c>
      <c r="CJ23">
        <f>IF(Quices!17:17,"AAAAAHd//Vc=",0)</f>
        <v>0</v>
      </c>
      <c r="CK23" t="e">
        <f>AND(Quices!A17,"AAAAAHd//Vg=")</f>
        <v>#VALUE!</v>
      </c>
      <c r="CL23" t="e">
        <f>AND(Quices!#REF!,"AAAAAHd//Vk=")</f>
        <v>#REF!</v>
      </c>
      <c r="CM23" t="b">
        <f>AND(Quices!B17,"AAAAAHd//Vo=")</f>
        <v>1</v>
      </c>
      <c r="CN23" t="b">
        <f>AND(Quices!C17,"AAAAAHd//Vs=")</f>
        <v>0</v>
      </c>
      <c r="CO23" t="b">
        <f>AND(Quices!D17,"AAAAAHd//Vw=")</f>
        <v>1</v>
      </c>
      <c r="CP23" t="e">
        <f>AND(Quices!#REF!,"AAAAAHd//V0=")</f>
        <v>#REF!</v>
      </c>
      <c r="CQ23" t="e">
        <f>AND(Quices!#REF!,"AAAAAHd//V4=")</f>
        <v>#REF!</v>
      </c>
      <c r="CR23" t="b">
        <f>AND(Quices!F17,"AAAAAHd//V8=")</f>
        <v>1</v>
      </c>
      <c r="CS23" t="e">
        <f>IF(Quices!#REF!,"AAAAAHd//WA=",0)</f>
        <v>#REF!</v>
      </c>
      <c r="CT23" t="e">
        <f>AND(Quices!#REF!,"AAAAAHd//WE=")</f>
        <v>#REF!</v>
      </c>
      <c r="CU23" t="e">
        <f>AND(Quices!#REF!,"AAAAAHd//WI=")</f>
        <v>#REF!</v>
      </c>
      <c r="CV23" t="e">
        <f>AND(Quices!#REF!,"AAAAAHd//WM=")</f>
        <v>#REF!</v>
      </c>
      <c r="CW23" t="e">
        <f>AND(Quices!#REF!,"AAAAAHd//WQ=")</f>
        <v>#REF!</v>
      </c>
      <c r="CX23" t="e">
        <f>AND(Quices!#REF!,"AAAAAHd//WU=")</f>
        <v>#REF!</v>
      </c>
      <c r="CY23" t="e">
        <f>AND(Quices!#REF!,"AAAAAHd//WY=")</f>
        <v>#REF!</v>
      </c>
      <c r="CZ23" t="e">
        <f>AND(Quices!#REF!,"AAAAAHd//Wc=")</f>
        <v>#REF!</v>
      </c>
      <c r="DA23" t="e">
        <f>AND(Quices!#REF!,"AAAAAHd//Wg=")</f>
        <v>#REF!</v>
      </c>
      <c r="DB23" t="e">
        <f>IF(Quices!#REF!,"AAAAAHd//Wk=",0)</f>
        <v>#REF!</v>
      </c>
      <c r="DC23" t="e">
        <f>AND(Quices!#REF!,"AAAAAHd//Wo=")</f>
        <v>#REF!</v>
      </c>
      <c r="DD23" t="e">
        <f>AND(Quices!#REF!,"AAAAAHd//Ws=")</f>
        <v>#REF!</v>
      </c>
      <c r="DE23" t="e">
        <f>AND(Quices!#REF!,"AAAAAHd//Ww=")</f>
        <v>#REF!</v>
      </c>
      <c r="DF23" t="e">
        <f>AND(Quices!#REF!,"AAAAAHd//W0=")</f>
        <v>#REF!</v>
      </c>
      <c r="DG23" t="e">
        <f>IF(Quices!#REF!,"AAAAAHd//W4=",0)</f>
        <v>#REF!</v>
      </c>
      <c r="DH23" t="e">
        <f>AND(Quices!#REF!,"AAAAAHd//W8=")</f>
        <v>#REF!</v>
      </c>
      <c r="DI23" t="e">
        <f>AND(Quices!#REF!,"AAAAAHd//XA=")</f>
        <v>#REF!</v>
      </c>
      <c r="DJ23" t="e">
        <f>AND(Quices!#REF!,"AAAAAHd//XE=")</f>
        <v>#REF!</v>
      </c>
      <c r="DK23" t="e">
        <f>AND(Quices!#REF!,"AAAAAHd//XI=")</f>
        <v>#REF!</v>
      </c>
      <c r="DL23" t="e">
        <f>IF(Quices!#REF!,"AAAAAHd//XM=",0)</f>
        <v>#REF!</v>
      </c>
      <c r="DM23" t="e">
        <f>AND(Quices!#REF!,"AAAAAHd//XQ=")</f>
        <v>#REF!</v>
      </c>
      <c r="DN23" t="e">
        <f>AND(Quices!#REF!,"AAAAAHd//XU=")</f>
        <v>#REF!</v>
      </c>
      <c r="DO23" t="e">
        <f>AND(Quices!#REF!,"AAAAAHd//XY=")</f>
        <v>#REF!</v>
      </c>
      <c r="DP23" t="e">
        <f>AND(Quices!#REF!,"AAAAAHd//Xc=")</f>
        <v>#REF!</v>
      </c>
      <c r="DQ23" t="e">
        <f>IF(Quices!#REF!,"AAAAAHd//Xg=",0)</f>
        <v>#REF!</v>
      </c>
      <c r="DR23" t="e">
        <f>AND(Quices!#REF!,"AAAAAHd//Xk=")</f>
        <v>#REF!</v>
      </c>
      <c r="DS23" t="e">
        <f>AND(Quices!#REF!,"AAAAAHd//Xo=")</f>
        <v>#REF!</v>
      </c>
      <c r="DT23" t="e">
        <f>AND(Quices!#REF!,"AAAAAHd//Xs=")</f>
        <v>#REF!</v>
      </c>
      <c r="DU23" t="e">
        <f>AND(Quices!#REF!,"AAAAAHd//Xw=")</f>
        <v>#REF!</v>
      </c>
      <c r="DV23" t="e">
        <f>IF(Quices!#REF!,"AAAAAHd//X0=",0)</f>
        <v>#REF!</v>
      </c>
      <c r="DW23" t="e">
        <f>AND(Quices!#REF!,"AAAAAHd//X4=")</f>
        <v>#REF!</v>
      </c>
      <c r="DX23" t="e">
        <f>AND(Quices!#REF!,"AAAAAHd//X8=")</f>
        <v>#REF!</v>
      </c>
      <c r="DY23" t="e">
        <f>AND(Quices!#REF!,"AAAAAHd//YA=")</f>
        <v>#REF!</v>
      </c>
      <c r="DZ23" t="e">
        <f>AND(Quices!#REF!,"AAAAAHd//YE=")</f>
        <v>#REF!</v>
      </c>
      <c r="EA23" t="e">
        <f>IF(Quices!#REF!,"AAAAAHd//YI=",0)</f>
        <v>#REF!</v>
      </c>
      <c r="EB23" t="e">
        <f>AND(Quices!#REF!,"AAAAAHd//YM=")</f>
        <v>#REF!</v>
      </c>
      <c r="EC23" t="e">
        <f>AND(Quices!#REF!,"AAAAAHd//YQ=")</f>
        <v>#REF!</v>
      </c>
      <c r="ED23" t="e">
        <f>AND(Quices!#REF!,"AAAAAHd//YU=")</f>
        <v>#REF!</v>
      </c>
      <c r="EE23" t="e">
        <f>AND(Quices!#REF!,"AAAAAHd//YY=")</f>
        <v>#REF!</v>
      </c>
      <c r="EF23" t="e">
        <f>IF(Quices!#REF!,"AAAAAHd//Yc=",0)</f>
        <v>#REF!</v>
      </c>
      <c r="EG23" t="e">
        <f>AND(Quices!#REF!,"AAAAAHd//Yg=")</f>
        <v>#REF!</v>
      </c>
      <c r="EH23" t="e">
        <f>AND(Quices!#REF!,"AAAAAHd//Yk=")</f>
        <v>#REF!</v>
      </c>
      <c r="EI23" t="e">
        <f>AND(Quices!#REF!,"AAAAAHd//Yo=")</f>
        <v>#REF!</v>
      </c>
      <c r="EJ23" t="e">
        <f>AND(Quices!#REF!,"AAAAAHd//Ys=")</f>
        <v>#REF!</v>
      </c>
      <c r="EK23" t="e">
        <f>IF(Quices!A:A,"AAAAAHd//Yw=",0)</f>
        <v>#VALUE!</v>
      </c>
      <c r="EL23" t="e">
        <f>IF(_xlfn.SINGLE(Quices!#REF!),"AAAAAHd//Y0=",0)</f>
        <v>#REF!</v>
      </c>
      <c r="EM23">
        <f>IF(Quices!B:B,"AAAAAHd//Y4=",0)</f>
        <v>0</v>
      </c>
      <c r="EN23">
        <f>IF(Quices!C:C,"AAAAAHd//Y8=",0)</f>
        <v>0</v>
      </c>
      <c r="EO23">
        <f>IF(Quices!D:D,"AAAAAHd//ZA=",0)</f>
        <v>0</v>
      </c>
      <c r="EP23" t="e">
        <f>IF(Quices!#REF!,"AAAAAHd//ZE=",0)</f>
        <v>#REF!</v>
      </c>
      <c r="EQ23" t="e">
        <f>IF(Quices!#REF!,"AAAAAHd//ZI=",0)</f>
        <v>#REF!</v>
      </c>
      <c r="ER23">
        <f>IF(Quices!F:F,"AAAAAHd//ZM=",0)</f>
        <v>0</v>
      </c>
      <c r="ES23" t="e">
        <f>IF(Tareas!#REF!,"AAAAAHd//ZQ=",0)</f>
        <v>#REF!</v>
      </c>
      <c r="ET23" t="e">
        <f>AND(Tareas!#REF!,"AAAAAHd//ZU=")</f>
        <v>#REF!</v>
      </c>
      <c r="EU23" t="e">
        <f>AND(Tareas!#REF!,"AAAAAHd//ZY=")</f>
        <v>#REF!</v>
      </c>
      <c r="EV23" t="e">
        <f>AND(Tareas!#REF!,"AAAAAHd//Zc=")</f>
        <v>#REF!</v>
      </c>
      <c r="EW23" t="e">
        <f>AND(Tareas!#REF!,"AAAAAHd//Zg=")</f>
        <v>#REF!</v>
      </c>
      <c r="EX23" t="e">
        <f>AND(Tareas!#REF!,"AAAAAHd//Zk=")</f>
        <v>#REF!</v>
      </c>
      <c r="EY23" t="e">
        <f>AND(Tareas!#REF!,"AAAAAHd//Zo=")</f>
        <v>#REF!</v>
      </c>
      <c r="EZ23" t="e">
        <f>AND(Tareas!#REF!,"AAAAAHd//Zs=")</f>
        <v>#REF!</v>
      </c>
      <c r="FA23" t="e">
        <f>AND(Tareas!#REF!,"AAAAAHd//Zw=")</f>
        <v>#REF!</v>
      </c>
      <c r="FB23" t="e">
        <f>IF(Tareas!#REF!,"AAAAAHd//Z0=",0)</f>
        <v>#REF!</v>
      </c>
      <c r="FC23" t="e">
        <f>AND(Tareas!#REF!,"AAAAAHd//Z4=")</f>
        <v>#REF!</v>
      </c>
      <c r="FD23" t="e">
        <f>AND(Tareas!#REF!,"AAAAAHd//Z8=")</f>
        <v>#REF!</v>
      </c>
      <c r="FE23" t="e">
        <f>AND(Tareas!#REF!,"AAAAAHd//aA=")</f>
        <v>#REF!</v>
      </c>
      <c r="FF23" t="e">
        <f>AND(Tareas!#REF!,"AAAAAHd//aE=")</f>
        <v>#REF!</v>
      </c>
      <c r="FG23" t="e">
        <f>AND(Tareas!#REF!,"AAAAAHd//aI=")</f>
        <v>#REF!</v>
      </c>
      <c r="FH23" t="e">
        <f>AND(Tareas!#REF!,"AAAAAHd//aM=")</f>
        <v>#REF!</v>
      </c>
      <c r="FI23" t="e">
        <f>AND(Tareas!#REF!,"AAAAAHd//aQ=")</f>
        <v>#REF!</v>
      </c>
      <c r="FJ23" t="e">
        <f>AND(Tareas!#REF!,"AAAAAHd//aU=")</f>
        <v>#REF!</v>
      </c>
      <c r="FK23" t="e">
        <f>IF(Tareas!#REF!,"AAAAAHd//aY=",0)</f>
        <v>#REF!</v>
      </c>
      <c r="FL23" t="e">
        <f>AND(Tareas!#REF!,"AAAAAHd//ac=")</f>
        <v>#REF!</v>
      </c>
      <c r="FM23" t="e">
        <f>AND(Tareas!#REF!,"AAAAAHd//ag=")</f>
        <v>#REF!</v>
      </c>
      <c r="FN23" t="e">
        <f>AND(Tareas!#REF!,"AAAAAHd//ak=")</f>
        <v>#REF!</v>
      </c>
      <c r="FO23" t="e">
        <f>AND(Tareas!#REF!,"AAAAAHd//ao=")</f>
        <v>#REF!</v>
      </c>
      <c r="FP23" t="e">
        <f>AND(Tareas!#REF!,"AAAAAHd//as=")</f>
        <v>#REF!</v>
      </c>
      <c r="FQ23" t="e">
        <f>AND(Tareas!#REF!,"AAAAAHd//aw=")</f>
        <v>#REF!</v>
      </c>
      <c r="FR23" t="e">
        <f>AND(Tareas!#REF!,"AAAAAHd//a0=")</f>
        <v>#REF!</v>
      </c>
      <c r="FS23" t="e">
        <f>AND(Tareas!#REF!,"AAAAAHd//a4=")</f>
        <v>#REF!</v>
      </c>
      <c r="FT23" t="e">
        <f>IF(Tareas!#REF!,"AAAAAHd//a8=",0)</f>
        <v>#REF!</v>
      </c>
      <c r="FU23" t="e">
        <f>AND(Tareas!#REF!,"AAAAAHd//bA=")</f>
        <v>#REF!</v>
      </c>
      <c r="FV23" t="e">
        <f>AND(Tareas!#REF!,"AAAAAHd//bE=")</f>
        <v>#REF!</v>
      </c>
      <c r="FW23" t="e">
        <f>AND(Tareas!#REF!,"AAAAAHd//bI=")</f>
        <v>#REF!</v>
      </c>
      <c r="FX23" t="e">
        <f>AND(Tareas!#REF!,"AAAAAHd//bM=")</f>
        <v>#REF!</v>
      </c>
      <c r="FY23" t="e">
        <f>AND(Tareas!#REF!,"AAAAAHd//bQ=")</f>
        <v>#REF!</v>
      </c>
      <c r="FZ23" t="e">
        <f>AND(Tareas!#REF!,"AAAAAHd//bU=")</f>
        <v>#REF!</v>
      </c>
      <c r="GA23" t="e">
        <f>AND(Tareas!#REF!,"AAAAAHd//bY=")</f>
        <v>#REF!</v>
      </c>
      <c r="GB23" t="e">
        <f>AND(Tareas!#REF!,"AAAAAHd//bc=")</f>
        <v>#REF!</v>
      </c>
      <c r="GC23" t="e">
        <f>IF(Tareas!#REF!,"AAAAAHd//bg=",0)</f>
        <v>#REF!</v>
      </c>
      <c r="GD23" t="e">
        <f>AND(Tareas!#REF!,"AAAAAHd//bk=")</f>
        <v>#REF!</v>
      </c>
      <c r="GE23" t="e">
        <f>AND(Tareas!#REF!,"AAAAAHd//bo=")</f>
        <v>#REF!</v>
      </c>
      <c r="GF23" t="e">
        <f>AND(Tareas!#REF!,"AAAAAHd//bs=")</f>
        <v>#REF!</v>
      </c>
      <c r="GG23" t="e">
        <f>AND(Tareas!#REF!,"AAAAAHd//bw=")</f>
        <v>#REF!</v>
      </c>
      <c r="GH23" t="e">
        <f>AND(Tareas!#REF!,"AAAAAHd//b0=")</f>
        <v>#REF!</v>
      </c>
      <c r="GI23" t="e">
        <f>AND(Tareas!#REF!,"AAAAAHd//b4=")</f>
        <v>#REF!</v>
      </c>
      <c r="GJ23" t="e">
        <f>AND(Tareas!#REF!,"AAAAAHd//b8=")</f>
        <v>#REF!</v>
      </c>
      <c r="GK23" t="e">
        <f>AND(Tareas!#REF!,"AAAAAHd//cA=")</f>
        <v>#REF!</v>
      </c>
      <c r="GL23">
        <f>IF(Tareas!1:1,"AAAAAHd//cE=",0)</f>
        <v>0</v>
      </c>
      <c r="GM23" t="e">
        <f>AND(Tareas!A1,"AAAAAHd//cI=")</f>
        <v>#VALUE!</v>
      </c>
      <c r="GN23" t="e">
        <f>AND(Tareas!#REF!,"AAAAAHd//cM=")</f>
        <v>#REF!</v>
      </c>
      <c r="GO23" t="e">
        <f>AND(Tareas!B1,"AAAAAHd//cQ=")</f>
        <v>#VALUE!</v>
      </c>
      <c r="GP23" t="e">
        <f>AND(Tareas!C1,"AAAAAHd//cU=")</f>
        <v>#VALUE!</v>
      </c>
      <c r="GQ23" t="e">
        <f>AND(Tareas!D1,"AAAAAHd//cY=")</f>
        <v>#VALUE!</v>
      </c>
      <c r="GR23" t="e">
        <f>AND(Tareas!E1,"AAAAAHd//cc=")</f>
        <v>#VALUE!</v>
      </c>
      <c r="GS23" t="e">
        <f>AND(Tareas!#REF!,"AAAAAHd//cg=")</f>
        <v>#REF!</v>
      </c>
      <c r="GT23" t="e">
        <f>AND(Tareas!F1,"AAAAAHd//ck=")</f>
        <v>#VALUE!</v>
      </c>
      <c r="GU23">
        <f>IF(Tareas!2:2,"AAAAAHd//co=",0)</f>
        <v>0</v>
      </c>
      <c r="GV23" t="e">
        <f>AND(Tareas!A2,"AAAAAHd//cs=")</f>
        <v>#VALUE!</v>
      </c>
      <c r="GW23" t="e">
        <f>AND(Tareas!#REF!,"AAAAAHd//cw=")</f>
        <v>#REF!</v>
      </c>
      <c r="GX23" t="e">
        <f>AND(Tareas!B2,"AAAAAHd//c0=")</f>
        <v>#VALUE!</v>
      </c>
      <c r="GY23" t="e">
        <f>AND(Tareas!C2,"AAAAAHd//c4=")</f>
        <v>#VALUE!</v>
      </c>
      <c r="GZ23" t="e">
        <f>AND(Tareas!D2,"AAAAAHd//c8=")</f>
        <v>#VALUE!</v>
      </c>
      <c r="HA23" t="e">
        <f>AND(Tareas!E2,"AAAAAHd//dA=")</f>
        <v>#VALUE!</v>
      </c>
      <c r="HB23" t="e">
        <f>AND(Tareas!#REF!,"AAAAAHd//dE=")</f>
        <v>#REF!</v>
      </c>
      <c r="HC23" t="e">
        <f>AND(Tareas!F2,"AAAAAHd//dI=")</f>
        <v>#VALUE!</v>
      </c>
      <c r="HD23">
        <f>IF(Tareas!3:3,"AAAAAHd//dM=",0)</f>
        <v>0</v>
      </c>
      <c r="HE23" t="e">
        <f>AND(Tareas!A3,"AAAAAHd//dQ=")</f>
        <v>#VALUE!</v>
      </c>
      <c r="HF23" t="e">
        <f>AND(Tareas!#REF!,"AAAAAHd//dU=")</f>
        <v>#REF!</v>
      </c>
      <c r="HG23" t="e">
        <f>AND(Tareas!B3,"AAAAAHd//dY=")</f>
        <v>#VALUE!</v>
      </c>
      <c r="HH23" t="e">
        <f>AND(Tareas!C3,"AAAAAHd//dc=")</f>
        <v>#VALUE!</v>
      </c>
      <c r="HI23" t="e">
        <f>AND(Tareas!D3,"AAAAAHd//dg=")</f>
        <v>#VALUE!</v>
      </c>
      <c r="HJ23" t="e">
        <f>AND(Tareas!E3,"AAAAAHd//dk=")</f>
        <v>#VALUE!</v>
      </c>
      <c r="HK23" t="e">
        <f>AND(Tareas!#REF!,"AAAAAHd//do=")</f>
        <v>#REF!</v>
      </c>
      <c r="HL23" t="e">
        <f>AND(Tareas!N3,"AAAAAHd//ds=")</f>
        <v>#VALUE!</v>
      </c>
      <c r="HM23">
        <f>IF(Tareas!5:5,"AAAAAHd//dw=",0)</f>
        <v>0</v>
      </c>
      <c r="HN23" t="e">
        <f>AND(Tareas!A5,"AAAAAHd//d0=")</f>
        <v>#VALUE!</v>
      </c>
      <c r="HO23" t="e">
        <f>AND(Tareas!#REF!,"AAAAAHd//d4=")</f>
        <v>#REF!</v>
      </c>
      <c r="HP23" t="b">
        <f>AND(Tareas!B5,"AAAAAHd//d8=")</f>
        <v>1</v>
      </c>
      <c r="HQ23" t="b">
        <f>AND(Tareas!C5,"AAAAAHd//eA=")</f>
        <v>0</v>
      </c>
      <c r="HR23" t="b">
        <f>AND(Tareas!D5,"AAAAAHd//eE=")</f>
        <v>1</v>
      </c>
      <c r="HS23" t="b">
        <f>AND(Tareas!E5,"AAAAAHd//eI=")</f>
        <v>1</v>
      </c>
      <c r="HT23" t="e">
        <f>AND(Tareas!#REF!,"AAAAAHd//eM=")</f>
        <v>#REF!</v>
      </c>
      <c r="HU23" t="b">
        <f>AND(Tareas!N5,"AAAAAHd//eQ=")</f>
        <v>1</v>
      </c>
      <c r="HV23">
        <f>IF(Tareas!6:6,"AAAAAHd//eU=",0)</f>
        <v>0</v>
      </c>
      <c r="HW23" t="e">
        <f>AND(Tareas!A6,"AAAAAHd//eY=")</f>
        <v>#VALUE!</v>
      </c>
      <c r="HX23" t="e">
        <f>AND(Tareas!#REF!,"AAAAAHd//ec=")</f>
        <v>#REF!</v>
      </c>
      <c r="HY23" t="b">
        <f>AND(Tareas!B6,"AAAAAHd//eg=")</f>
        <v>1</v>
      </c>
      <c r="HZ23" t="b">
        <f>AND(Tareas!C6,"AAAAAHd//ek=")</f>
        <v>0</v>
      </c>
      <c r="IA23" t="b">
        <f>AND(Tareas!D6,"AAAAAHd//eo=")</f>
        <v>1</v>
      </c>
      <c r="IB23" t="b">
        <f>AND(Tareas!E6,"AAAAAHd//es=")</f>
        <v>1</v>
      </c>
      <c r="IC23" t="e">
        <f>AND(Tareas!#REF!,"AAAAAHd//ew=")</f>
        <v>#REF!</v>
      </c>
      <c r="ID23" t="b">
        <f>AND(Tareas!N6,"AAAAAHd//e0=")</f>
        <v>1</v>
      </c>
      <c r="IE23">
        <f>IF(Tareas!7:7,"AAAAAHd//e4=",0)</f>
        <v>0</v>
      </c>
      <c r="IF23" t="e">
        <f>AND(Tareas!A7,"AAAAAHd//e8=")</f>
        <v>#VALUE!</v>
      </c>
      <c r="IG23" t="e">
        <f>AND(Tareas!#REF!,"AAAAAHd//fA=")</f>
        <v>#REF!</v>
      </c>
      <c r="IH23" t="b">
        <f>AND(Tareas!B7,"AAAAAHd//fE=")</f>
        <v>0</v>
      </c>
      <c r="II23" t="b">
        <f>AND(Tareas!C7,"AAAAAHd//fI=")</f>
        <v>0</v>
      </c>
      <c r="IJ23" t="b">
        <f>AND(Tareas!D7,"AAAAAHd//fM=")</f>
        <v>0</v>
      </c>
      <c r="IK23" t="b">
        <f>AND(Tareas!E7,"AAAAAHd//fQ=")</f>
        <v>0</v>
      </c>
      <c r="IL23" t="e">
        <f>AND(Tareas!#REF!,"AAAAAHd//fU=")</f>
        <v>#REF!</v>
      </c>
      <c r="IM23" t="b">
        <f>AND(Tareas!N7,"AAAAAHd//fY=")</f>
        <v>1</v>
      </c>
      <c r="IN23" t="e">
        <f>IF(Tareas!#REF!,"AAAAAHd//fc=",0)</f>
        <v>#REF!</v>
      </c>
      <c r="IO23" t="e">
        <f>AND(Tareas!#REF!,"AAAAAHd//fg=")</f>
        <v>#REF!</v>
      </c>
      <c r="IP23" t="e">
        <f>AND(Tareas!#REF!,"AAAAAHd//fk=")</f>
        <v>#REF!</v>
      </c>
      <c r="IQ23" t="e">
        <f>AND(Tareas!#REF!,"AAAAAHd//fo=")</f>
        <v>#REF!</v>
      </c>
      <c r="IR23" t="e">
        <f>AND(Tareas!#REF!,"AAAAAHd//fs=")</f>
        <v>#REF!</v>
      </c>
      <c r="IS23" t="e">
        <f>AND(Tareas!#REF!,"AAAAAHd//fw=")</f>
        <v>#REF!</v>
      </c>
      <c r="IT23" t="e">
        <f>AND(Tareas!#REF!,"AAAAAHd//f0=")</f>
        <v>#REF!</v>
      </c>
      <c r="IU23" t="e">
        <f>AND(Tareas!#REF!,"AAAAAHd//f4=")</f>
        <v>#REF!</v>
      </c>
      <c r="IV23" t="e">
        <f>AND(Tareas!#REF!,"AAAAAHd//f8=")</f>
        <v>#REF!</v>
      </c>
    </row>
    <row r="24" spans="1:256" x14ac:dyDescent="0.35">
      <c r="A24" t="e">
        <f>IF(Tareas!8:8,"AAAAAB+tmwA=",0)</f>
        <v>#VALUE!</v>
      </c>
      <c r="B24" t="e">
        <f>AND(Tareas!A8,"AAAAAB+tmwE=")</f>
        <v>#VALUE!</v>
      </c>
      <c r="C24" t="e">
        <f>AND(Tareas!#REF!,"AAAAAB+tmwI=")</f>
        <v>#REF!</v>
      </c>
      <c r="D24" t="b">
        <f>AND(Tareas!B8,"AAAAAB+tmwM=")</f>
        <v>1</v>
      </c>
      <c r="E24" t="b">
        <f>AND(Tareas!C8,"AAAAAB+tmwQ=")</f>
        <v>1</v>
      </c>
      <c r="F24" t="b">
        <f>AND(Tareas!D8,"AAAAAB+tmwU=")</f>
        <v>1</v>
      </c>
      <c r="G24" t="b">
        <f>AND(Tareas!E8,"AAAAAB+tmwY=")</f>
        <v>1</v>
      </c>
      <c r="H24" t="e">
        <f>AND(Tareas!#REF!,"AAAAAB+tmwc=")</f>
        <v>#REF!</v>
      </c>
      <c r="I24" t="b">
        <f>AND(Tareas!N8,"AAAAAB+tmwg=")</f>
        <v>1</v>
      </c>
      <c r="J24">
        <f>IF(Tareas!9:9,"AAAAAB+tmwk=",0)</f>
        <v>0</v>
      </c>
      <c r="K24" t="e">
        <f>AND(Tareas!A9,"AAAAAB+tmwo=")</f>
        <v>#VALUE!</v>
      </c>
      <c r="L24" t="e">
        <f>AND(Tareas!#REF!,"AAAAAB+tmws=")</f>
        <v>#REF!</v>
      </c>
      <c r="M24" t="b">
        <f>AND(Tareas!B9,"AAAAAB+tmww=")</f>
        <v>1</v>
      </c>
      <c r="N24" t="b">
        <f>AND(Tareas!C9,"AAAAAB+tmw0=")</f>
        <v>0</v>
      </c>
      <c r="O24" t="b">
        <f>AND(Tareas!D9,"AAAAAB+tmw4=")</f>
        <v>1</v>
      </c>
      <c r="P24" t="b">
        <f>AND(Tareas!E9,"AAAAAB+tmw8=")</f>
        <v>0</v>
      </c>
      <c r="Q24" t="e">
        <f>AND(Tareas!#REF!,"AAAAAB+tmxA=")</f>
        <v>#REF!</v>
      </c>
      <c r="R24" t="b">
        <f>AND(Tareas!N9,"AAAAAB+tmxE=")</f>
        <v>1</v>
      </c>
      <c r="S24">
        <f>IF(Tareas!10:10,"AAAAAB+tmxI=",0)</f>
        <v>0</v>
      </c>
      <c r="T24" t="e">
        <f>AND(Tareas!A10,"AAAAAB+tmxM=")</f>
        <v>#VALUE!</v>
      </c>
      <c r="U24" t="e">
        <f>AND(Tareas!#REF!,"AAAAAB+tmxQ=")</f>
        <v>#REF!</v>
      </c>
      <c r="V24" t="b">
        <f>AND(Tareas!B10,"AAAAAB+tmxU=")</f>
        <v>1</v>
      </c>
      <c r="W24" t="b">
        <f>AND(Tareas!C10,"AAAAAB+tmxY=")</f>
        <v>0</v>
      </c>
      <c r="X24" t="b">
        <f>AND(Tareas!D10,"AAAAAB+tmxc=")</f>
        <v>1</v>
      </c>
      <c r="Y24" t="b">
        <f>AND(Tareas!E10,"AAAAAB+tmxg=")</f>
        <v>1</v>
      </c>
      <c r="Z24" t="e">
        <f>AND(Tareas!#REF!,"AAAAAB+tmxk=")</f>
        <v>#REF!</v>
      </c>
      <c r="AA24" t="b">
        <f>AND(Tareas!N10,"AAAAAB+tmxo=")</f>
        <v>1</v>
      </c>
      <c r="AB24">
        <f>IF(Tareas!11:11,"AAAAAB+tmxs=",0)</f>
        <v>0</v>
      </c>
      <c r="AC24" t="e">
        <f>AND(Tareas!A11,"AAAAAB+tmxw=")</f>
        <v>#VALUE!</v>
      </c>
      <c r="AD24" t="e">
        <f>AND(Tareas!#REF!,"AAAAAB+tmx0=")</f>
        <v>#REF!</v>
      </c>
      <c r="AE24" t="b">
        <f>AND(Tareas!B11,"AAAAAB+tmx4=")</f>
        <v>1</v>
      </c>
      <c r="AF24" t="b">
        <f>AND(Tareas!C11,"AAAAAB+tmx8=")</f>
        <v>1</v>
      </c>
      <c r="AG24" t="b">
        <f>AND(Tareas!D11,"AAAAAB+tmyA=")</f>
        <v>1</v>
      </c>
      <c r="AH24" t="b">
        <f>AND(Tareas!E11,"AAAAAB+tmyE=")</f>
        <v>1</v>
      </c>
      <c r="AI24" t="e">
        <f>AND(Tareas!#REF!,"AAAAAB+tmyI=")</f>
        <v>#REF!</v>
      </c>
      <c r="AJ24" t="b">
        <f>AND(Tareas!N11,"AAAAAB+tmyM=")</f>
        <v>1</v>
      </c>
      <c r="AK24">
        <f>IF(Tareas!12:12,"AAAAAB+tmyQ=",0)</f>
        <v>0</v>
      </c>
      <c r="AL24" t="e">
        <f>AND(Tareas!A12,"AAAAAB+tmyU=")</f>
        <v>#VALUE!</v>
      </c>
      <c r="AM24" t="e">
        <f>AND(Tareas!#REF!,"AAAAAB+tmyY=")</f>
        <v>#REF!</v>
      </c>
      <c r="AN24" t="b">
        <f>AND(Tareas!B12,"AAAAAB+tmyc=")</f>
        <v>1</v>
      </c>
      <c r="AO24" t="b">
        <f>AND(Tareas!C12,"AAAAAB+tmyg=")</f>
        <v>0</v>
      </c>
      <c r="AP24" t="b">
        <f>AND(Tareas!D12,"AAAAAB+tmyk=")</f>
        <v>1</v>
      </c>
      <c r="AQ24" t="b">
        <f>AND(Tareas!E12,"AAAAAB+tmyo=")</f>
        <v>1</v>
      </c>
      <c r="AR24" t="e">
        <f>AND(Tareas!#REF!,"AAAAAB+tmys=")</f>
        <v>#REF!</v>
      </c>
      <c r="AS24" t="b">
        <f>AND(Tareas!N12,"AAAAAB+tmyw=")</f>
        <v>1</v>
      </c>
      <c r="AT24">
        <f>IF(Tareas!13:13,"AAAAAB+tmy0=",0)</f>
        <v>0</v>
      </c>
      <c r="AU24" t="e">
        <f>AND(Tareas!A13,"AAAAAB+tmy4=")</f>
        <v>#VALUE!</v>
      </c>
      <c r="AV24" t="e">
        <f>AND(Tareas!#REF!,"AAAAAB+tmy8=")</f>
        <v>#REF!</v>
      </c>
      <c r="AW24" t="b">
        <f>AND(Tareas!B13,"AAAAAB+tmzA=")</f>
        <v>1</v>
      </c>
      <c r="AX24" t="b">
        <f>AND(Tareas!C13,"AAAAAB+tmzE=")</f>
        <v>1</v>
      </c>
      <c r="AY24" t="b">
        <f>AND(Tareas!D13,"AAAAAB+tmzI=")</f>
        <v>1</v>
      </c>
      <c r="AZ24" t="b">
        <f>AND(Tareas!E13,"AAAAAB+tmzM=")</f>
        <v>1</v>
      </c>
      <c r="BA24" t="e">
        <f>AND(Tareas!#REF!,"AAAAAB+tmzQ=")</f>
        <v>#REF!</v>
      </c>
      <c r="BB24" t="b">
        <f>AND(Tareas!N13,"AAAAAB+tmzU=")</f>
        <v>1</v>
      </c>
      <c r="BC24">
        <f>IF(Tareas!14:14,"AAAAAB+tmzY=",0)</f>
        <v>0</v>
      </c>
      <c r="BD24" t="e">
        <f>AND(Tareas!A14,"AAAAAB+tmzc=")</f>
        <v>#VALUE!</v>
      </c>
      <c r="BE24" t="e">
        <f>AND(Tareas!#REF!,"AAAAAB+tmzg=")</f>
        <v>#REF!</v>
      </c>
      <c r="BF24" t="b">
        <f>AND(Tareas!B14,"AAAAAB+tmzk=")</f>
        <v>1</v>
      </c>
      <c r="BG24" t="b">
        <f>AND(Tareas!C14,"AAAAAB+tmzo=")</f>
        <v>0</v>
      </c>
      <c r="BH24" t="b">
        <f>AND(Tareas!D14,"AAAAAB+tmzs=")</f>
        <v>1</v>
      </c>
      <c r="BI24" t="b">
        <f>AND(Tareas!E14,"AAAAAB+tmzw=")</f>
        <v>1</v>
      </c>
      <c r="BJ24" t="e">
        <f>AND(Tareas!#REF!,"AAAAAB+tmz0=")</f>
        <v>#REF!</v>
      </c>
      <c r="BK24" t="b">
        <f>AND(Tareas!N14,"AAAAAB+tmz4=")</f>
        <v>1</v>
      </c>
      <c r="BL24">
        <f>IF(Tareas!15:15,"AAAAAB+tmz8=",0)</f>
        <v>0</v>
      </c>
      <c r="BM24" t="e">
        <f>AND(Tareas!A15,"AAAAAB+tm0A=")</f>
        <v>#VALUE!</v>
      </c>
      <c r="BN24" t="e">
        <f>AND(Tareas!#REF!,"AAAAAB+tm0E=")</f>
        <v>#REF!</v>
      </c>
      <c r="BO24" t="b">
        <f>AND(Tareas!B15,"AAAAAB+tm0I=")</f>
        <v>1</v>
      </c>
      <c r="BP24" t="b">
        <f>AND(Tareas!C15,"AAAAAB+tm0M=")</f>
        <v>0</v>
      </c>
      <c r="BQ24" t="b">
        <f>AND(Tareas!D15,"AAAAAB+tm0Q=")</f>
        <v>1</v>
      </c>
      <c r="BR24" t="b">
        <f>AND(Tareas!E15,"AAAAAB+tm0U=")</f>
        <v>1</v>
      </c>
      <c r="BS24" t="e">
        <f>AND(Tareas!#REF!,"AAAAAB+tm0Y=")</f>
        <v>#REF!</v>
      </c>
      <c r="BT24" t="b">
        <f>AND(Tareas!N15,"AAAAAB+tm0c=")</f>
        <v>1</v>
      </c>
      <c r="BU24">
        <f>IF(Tareas!16:16,"AAAAAB+tm0g=",0)</f>
        <v>0</v>
      </c>
      <c r="BV24" t="e">
        <f>AND(Tareas!A16,"AAAAAB+tm0k=")</f>
        <v>#VALUE!</v>
      </c>
      <c r="BW24" t="e">
        <f>AND(Tareas!#REF!,"AAAAAB+tm0o=")</f>
        <v>#REF!</v>
      </c>
      <c r="BX24" t="b">
        <f>AND(Tareas!B16,"AAAAAB+tm0s=")</f>
        <v>1</v>
      </c>
      <c r="BY24" t="b">
        <f>AND(Tareas!C16,"AAAAAB+tm0w=")</f>
        <v>0</v>
      </c>
      <c r="BZ24" t="b">
        <f>AND(Tareas!D16,"AAAAAB+tm00=")</f>
        <v>1</v>
      </c>
      <c r="CA24" t="b">
        <f>AND(Tareas!E16,"AAAAAB+tm04=")</f>
        <v>1</v>
      </c>
      <c r="CB24" t="e">
        <f>AND(Tareas!#REF!,"AAAAAB+tm08=")</f>
        <v>#REF!</v>
      </c>
      <c r="CC24" t="b">
        <f>AND(Tareas!N16,"AAAAAB+tm1A=")</f>
        <v>1</v>
      </c>
      <c r="CD24">
        <f>IF(Tareas!17:17,"AAAAAB+tm1E=",0)</f>
        <v>0</v>
      </c>
      <c r="CE24" t="e">
        <f>AND(Tareas!A17,"AAAAAB+tm1I=")</f>
        <v>#VALUE!</v>
      </c>
      <c r="CF24" t="e">
        <f>AND(Tareas!#REF!,"AAAAAB+tm1M=")</f>
        <v>#REF!</v>
      </c>
      <c r="CG24" t="b">
        <f>AND(Tareas!B17,"AAAAAB+tm1Q=")</f>
        <v>1</v>
      </c>
      <c r="CH24" t="b">
        <f>AND(Tareas!C17,"AAAAAB+tm1U=")</f>
        <v>0</v>
      </c>
      <c r="CI24" t="b">
        <f>AND(Tareas!D17,"AAAAAB+tm1Y=")</f>
        <v>1</v>
      </c>
      <c r="CJ24" t="b">
        <f>AND(Tareas!E17,"AAAAAB+tm1c=")</f>
        <v>1</v>
      </c>
      <c r="CK24" t="e">
        <f>AND(Tareas!#REF!,"AAAAAB+tm1g=")</f>
        <v>#REF!</v>
      </c>
      <c r="CL24" t="b">
        <f>AND(Tareas!N17,"AAAAAB+tm1k=")</f>
        <v>1</v>
      </c>
      <c r="CM24">
        <f>IF(Tareas!18:18,"AAAAAB+tm1o=",0)</f>
        <v>0</v>
      </c>
      <c r="CN24" t="e">
        <f>AND(Tareas!A18,"AAAAAB+tm1s=")</f>
        <v>#VALUE!</v>
      </c>
      <c r="CO24" t="e">
        <f>AND(Tareas!#REF!,"AAAAAB+tm1w=")</f>
        <v>#REF!</v>
      </c>
      <c r="CP24" t="b">
        <f>AND(Tareas!B18,"AAAAAB+tm10=")</f>
        <v>1</v>
      </c>
      <c r="CQ24" t="b">
        <f>AND(Tareas!C18,"AAAAAB+tm14=")</f>
        <v>0</v>
      </c>
      <c r="CR24" t="b">
        <f>AND(Tareas!D18,"AAAAAB+tm18=")</f>
        <v>1</v>
      </c>
      <c r="CS24" t="b">
        <f>AND(Tareas!E18,"AAAAAB+tm2A=")</f>
        <v>1</v>
      </c>
      <c r="CT24" t="e">
        <f>AND(Tareas!#REF!,"AAAAAB+tm2E=")</f>
        <v>#REF!</v>
      </c>
      <c r="CU24" t="b">
        <f>AND(Tareas!N18,"AAAAAB+tm2I=")</f>
        <v>1</v>
      </c>
      <c r="CV24" t="e">
        <f>IF(Tareas!#REF!,"AAAAAB+tm2M=",0)</f>
        <v>#REF!</v>
      </c>
      <c r="CW24" t="e">
        <f>AND(Tareas!#REF!,"AAAAAB+tm2Q=")</f>
        <v>#REF!</v>
      </c>
      <c r="CX24" t="e">
        <f>AND(Tareas!#REF!,"AAAAAB+tm2U=")</f>
        <v>#REF!</v>
      </c>
      <c r="CY24" t="e">
        <f>AND(Tareas!#REF!,"AAAAAB+tm2Y=")</f>
        <v>#REF!</v>
      </c>
      <c r="CZ24" t="e">
        <f>AND(Tareas!#REF!,"AAAAAB+tm2c=")</f>
        <v>#REF!</v>
      </c>
      <c r="DA24" t="e">
        <f>AND(Tareas!#REF!,"AAAAAB+tm2g=")</f>
        <v>#REF!</v>
      </c>
      <c r="DB24" t="e">
        <f>AND(Tareas!#REF!,"AAAAAB+tm2k=")</f>
        <v>#REF!</v>
      </c>
      <c r="DC24" t="e">
        <f>AND(Tareas!#REF!,"AAAAAB+tm2o=")</f>
        <v>#REF!</v>
      </c>
      <c r="DD24" t="e">
        <f>AND(Tareas!#REF!,"AAAAAB+tm2s=")</f>
        <v>#REF!</v>
      </c>
      <c r="DE24" t="e">
        <f>IF(Tareas!A:A,"AAAAAB+tm2w=",0)</f>
        <v>#VALUE!</v>
      </c>
      <c r="DF24" t="e">
        <f>IF(_xlfn.SINGLE(Tareas!#REF!),"AAAAAB+tm20=",0)</f>
        <v>#REF!</v>
      </c>
      <c r="DG24">
        <f>IF(Tareas!B:B,"AAAAAB+tm24=",0)</f>
        <v>0</v>
      </c>
      <c r="DH24">
        <f>IF(Tareas!C:C,"AAAAAB+tm28=",0)</f>
        <v>0</v>
      </c>
      <c r="DI24">
        <f>IF(Tareas!D:D,"AAAAAB+tm3A=",0)</f>
        <v>0</v>
      </c>
      <c r="DJ24">
        <f>IF(Tareas!E:E,"AAAAAB+tm3E=",0)</f>
        <v>0</v>
      </c>
      <c r="DK24" t="e">
        <f>IF(Tareas!#REF!,"AAAAAB+tm3I=",0)</f>
        <v>#REF!</v>
      </c>
      <c r="DL24">
        <f>IF(Tareas!F:F,"AAAAAB+tm3M=",0)</f>
        <v>0</v>
      </c>
      <c r="DM24">
        <f>IF(Tareas!G:G,"AAAAAB+tm3Q=",0)</f>
        <v>0</v>
      </c>
      <c r="DN24" t="e">
        <f>IF(Tareas!#REF!,"AAAAAB+tm3U=",0)</f>
        <v>#REF!</v>
      </c>
      <c r="DO24" t="e">
        <f>IF(Tareas!#REF!,"AAAAAB+tm3Y=",0)</f>
        <v>#REF!</v>
      </c>
      <c r="DP24" t="e">
        <f>IF(Tareas!#REF!,"AAAAAB+tm3c=",0)</f>
        <v>#REF!</v>
      </c>
      <c r="DQ24">
        <f>IF(Tareas!H:H,"AAAAAB+tm3g=",0)</f>
        <v>0</v>
      </c>
      <c r="DR24">
        <f>IF(Tareas!I:I,"AAAAAB+tm3k=",0)</f>
        <v>0</v>
      </c>
      <c r="DS24">
        <f>IF(Tareas!J:J,"AAAAAB+tm3o=",0)</f>
        <v>0</v>
      </c>
      <c r="DT24" t="e">
        <f>IF(Proyecto!#REF!,"AAAAAB+tm3s=",0)</f>
        <v>#REF!</v>
      </c>
      <c r="DU24" t="e">
        <f>AND(Proyecto!#REF!,"AAAAAB+tm3w=")</f>
        <v>#REF!</v>
      </c>
      <c r="DV24" t="e">
        <f>AND(Proyecto!#REF!,"AAAAAB+tm30=")</f>
        <v>#REF!</v>
      </c>
      <c r="DW24" t="e">
        <f>AND(Proyecto!#REF!,"AAAAAB+tm34=")</f>
        <v>#REF!</v>
      </c>
      <c r="DX24" t="e">
        <f>AND(Proyecto!#REF!,"AAAAAB+tm38=")</f>
        <v>#REF!</v>
      </c>
      <c r="DY24" t="e">
        <f>AND(Proyecto!#REF!,"AAAAAB+tm4A=")</f>
        <v>#REF!</v>
      </c>
      <c r="DZ24" t="e">
        <f>AND(Proyecto!#REF!,"AAAAAB+tm4E=")</f>
        <v>#REF!</v>
      </c>
      <c r="EA24" t="e">
        <f>AND(Proyecto!#REF!,"AAAAAB+tm4I=")</f>
        <v>#REF!</v>
      </c>
      <c r="EB24" t="e">
        <f>AND(Proyecto!#REF!,"AAAAAB+tm4M=")</f>
        <v>#REF!</v>
      </c>
      <c r="EC24" t="e">
        <f>AND(Proyecto!#REF!,"AAAAAB+tm4Q=")</f>
        <v>#REF!</v>
      </c>
      <c r="ED24" t="e">
        <f>IF(Proyecto!#REF!,"AAAAAB+tm4U=",0)</f>
        <v>#REF!</v>
      </c>
      <c r="EE24" t="e">
        <f>AND(Proyecto!#REF!,"AAAAAB+tm4Y=")</f>
        <v>#REF!</v>
      </c>
      <c r="EF24" t="e">
        <f>AND(Proyecto!#REF!,"AAAAAB+tm4c=")</f>
        <v>#REF!</v>
      </c>
      <c r="EG24" t="e">
        <f>AND(Proyecto!#REF!,"AAAAAB+tm4g=")</f>
        <v>#REF!</v>
      </c>
      <c r="EH24" t="e">
        <f>AND(Proyecto!#REF!,"AAAAAB+tm4k=")</f>
        <v>#REF!</v>
      </c>
      <c r="EI24" t="e">
        <f>AND(Proyecto!#REF!,"AAAAAB+tm4o=")</f>
        <v>#REF!</v>
      </c>
      <c r="EJ24" t="e">
        <f>AND(Proyecto!#REF!,"AAAAAB+tm4s=")</f>
        <v>#REF!</v>
      </c>
      <c r="EK24" t="e">
        <f>AND(Proyecto!#REF!,"AAAAAB+tm4w=")</f>
        <v>#REF!</v>
      </c>
      <c r="EL24" t="e">
        <f>AND(Proyecto!#REF!,"AAAAAB+tm40=")</f>
        <v>#REF!</v>
      </c>
      <c r="EM24" t="e">
        <f>AND(Proyecto!#REF!,"AAAAAB+tm44=")</f>
        <v>#REF!</v>
      </c>
      <c r="EN24" t="e">
        <f>IF(Proyecto!#REF!,"AAAAAB+tm48=",0)</f>
        <v>#REF!</v>
      </c>
      <c r="EO24" t="e">
        <f>AND(Proyecto!#REF!,"AAAAAB+tm5A=")</f>
        <v>#REF!</v>
      </c>
      <c r="EP24" t="e">
        <f>AND(Proyecto!#REF!,"AAAAAB+tm5E=")</f>
        <v>#REF!</v>
      </c>
      <c r="EQ24" t="e">
        <f>AND(Proyecto!#REF!,"AAAAAB+tm5I=")</f>
        <v>#REF!</v>
      </c>
      <c r="ER24" t="e">
        <f>AND(Proyecto!#REF!,"AAAAAB+tm5M=")</f>
        <v>#REF!</v>
      </c>
      <c r="ES24" t="e">
        <f>AND(Proyecto!#REF!,"AAAAAB+tm5Q=")</f>
        <v>#REF!</v>
      </c>
      <c r="ET24" t="e">
        <f>AND(Proyecto!#REF!,"AAAAAB+tm5U=")</f>
        <v>#REF!</v>
      </c>
      <c r="EU24" t="e">
        <f>AND(Proyecto!#REF!,"AAAAAB+tm5Y=")</f>
        <v>#REF!</v>
      </c>
      <c r="EV24" t="e">
        <f>AND(Proyecto!#REF!,"AAAAAB+tm5c=")</f>
        <v>#REF!</v>
      </c>
      <c r="EW24" t="e">
        <f>AND(Proyecto!#REF!,"AAAAAB+tm5g=")</f>
        <v>#REF!</v>
      </c>
      <c r="EX24" t="e">
        <f>IF(Proyecto!#REF!,"AAAAAB+tm5k=",0)</f>
        <v>#REF!</v>
      </c>
      <c r="EY24" t="e">
        <f>AND(Proyecto!#REF!,"AAAAAB+tm5o=")</f>
        <v>#REF!</v>
      </c>
      <c r="EZ24" t="e">
        <f>AND(Proyecto!#REF!,"AAAAAB+tm5s=")</f>
        <v>#REF!</v>
      </c>
      <c r="FA24" t="e">
        <f>AND(Proyecto!#REF!,"AAAAAB+tm5w=")</f>
        <v>#REF!</v>
      </c>
      <c r="FB24" t="e">
        <f>AND(Proyecto!#REF!,"AAAAAB+tm50=")</f>
        <v>#REF!</v>
      </c>
      <c r="FC24" t="e">
        <f>AND(Proyecto!#REF!,"AAAAAB+tm54=")</f>
        <v>#REF!</v>
      </c>
      <c r="FD24" t="e">
        <f>AND(Proyecto!#REF!,"AAAAAB+tm58=")</f>
        <v>#REF!</v>
      </c>
      <c r="FE24" t="e">
        <f>AND(Proyecto!#REF!,"AAAAAB+tm6A=")</f>
        <v>#REF!</v>
      </c>
      <c r="FF24" t="e">
        <f>AND(Proyecto!#REF!,"AAAAAB+tm6E=")</f>
        <v>#REF!</v>
      </c>
      <c r="FG24" t="e">
        <f>AND(Proyecto!#REF!,"AAAAAB+tm6I=")</f>
        <v>#REF!</v>
      </c>
      <c r="FH24" t="e">
        <f>IF(Proyecto!#REF!,"AAAAAB+tm6M=",0)</f>
        <v>#REF!</v>
      </c>
      <c r="FI24" t="e">
        <f>AND(Proyecto!#REF!,"AAAAAB+tm6Q=")</f>
        <v>#REF!</v>
      </c>
      <c r="FJ24" t="e">
        <f>AND(Proyecto!#REF!,"AAAAAB+tm6U=")</f>
        <v>#REF!</v>
      </c>
      <c r="FK24" t="e">
        <f>AND(Proyecto!#REF!,"AAAAAB+tm6Y=")</f>
        <v>#REF!</v>
      </c>
      <c r="FL24" t="e">
        <f>AND(Proyecto!#REF!,"AAAAAB+tm6c=")</f>
        <v>#REF!</v>
      </c>
      <c r="FM24" t="e">
        <f>AND(Proyecto!#REF!,"AAAAAB+tm6g=")</f>
        <v>#REF!</v>
      </c>
      <c r="FN24" t="e">
        <f>AND(Proyecto!#REF!,"AAAAAB+tm6k=")</f>
        <v>#REF!</v>
      </c>
      <c r="FO24" t="e">
        <f>AND(Proyecto!#REF!,"AAAAAB+tm6o=")</f>
        <v>#REF!</v>
      </c>
      <c r="FP24" t="e">
        <f>AND(Proyecto!#REF!,"AAAAAB+tm6s=")</f>
        <v>#REF!</v>
      </c>
      <c r="FQ24" t="e">
        <f>AND(Proyecto!#REF!,"AAAAAB+tm6w=")</f>
        <v>#REF!</v>
      </c>
      <c r="FR24">
        <f>IF(Proyecto!1:1,"AAAAAB+tm60=",0)</f>
        <v>0</v>
      </c>
      <c r="FS24" t="e">
        <f>AND(Proyecto!A1,"AAAAAB+tm64=")</f>
        <v>#VALUE!</v>
      </c>
      <c r="FT24" t="e">
        <f>AND(Proyecto!#REF!,"AAAAAB+tm68=")</f>
        <v>#REF!</v>
      </c>
      <c r="FU24" t="e">
        <f>AND(Proyecto!B1,"AAAAAB+tm7A=")</f>
        <v>#VALUE!</v>
      </c>
      <c r="FV24" t="e">
        <f>AND(Proyecto!J1,"AAAAAB+tm7E=")</f>
        <v>#VALUE!</v>
      </c>
      <c r="FW24" t="e">
        <f>AND(Proyecto!#REF!,"AAAAAB+tm7I=")</f>
        <v>#REF!</v>
      </c>
      <c r="FX24" t="e">
        <f>AND(Proyecto!#REF!,"AAAAAB+tm7M=")</f>
        <v>#REF!</v>
      </c>
      <c r="FY24" t="e">
        <f>AND(Proyecto!L1,"AAAAAB+tm7Q=")</f>
        <v>#VALUE!</v>
      </c>
      <c r="FZ24" t="e">
        <f>AND(Proyecto!#REF!,"AAAAAB+tm7U=")</f>
        <v>#REF!</v>
      </c>
      <c r="GA24" t="e">
        <f>AND(Proyecto!M1,"AAAAAB+tm7Y=")</f>
        <v>#VALUE!</v>
      </c>
      <c r="GB24">
        <f>IF(Proyecto!2:2,"AAAAAB+tm7c=",0)</f>
        <v>0</v>
      </c>
      <c r="GC24" t="e">
        <f>AND(Proyecto!A2,"AAAAAB+tm7g=")</f>
        <v>#VALUE!</v>
      </c>
      <c r="GD24" t="e">
        <f>AND(Proyecto!#REF!,"AAAAAB+tm7k=")</f>
        <v>#REF!</v>
      </c>
      <c r="GE24" t="e">
        <f>AND(Proyecto!B2,"AAAAAB+tm7o=")</f>
        <v>#VALUE!</v>
      </c>
      <c r="GF24" t="e">
        <f>AND(Proyecto!J2,"AAAAAB+tm7s=")</f>
        <v>#VALUE!</v>
      </c>
      <c r="GG24" t="e">
        <f>AND(Proyecto!#REF!,"AAAAAB+tm7w=")</f>
        <v>#REF!</v>
      </c>
      <c r="GH24" t="e">
        <f>AND(Proyecto!#REF!,"AAAAAB+tm70=")</f>
        <v>#REF!</v>
      </c>
      <c r="GI24" t="e">
        <f>AND(Proyecto!L2,"AAAAAB+tm74=")</f>
        <v>#VALUE!</v>
      </c>
      <c r="GJ24" t="e">
        <f>AND(Proyecto!#REF!,"AAAAAB+tm78=")</f>
        <v>#REF!</v>
      </c>
      <c r="GK24" t="e">
        <f>AND(Proyecto!M2,"AAAAAB+tm8A=")</f>
        <v>#VALUE!</v>
      </c>
      <c r="GL24">
        <f>IF(Proyecto!3:3,"AAAAAB+tm8E=",0)</f>
        <v>0</v>
      </c>
      <c r="GM24" t="e">
        <f>AND(Proyecto!A3,"AAAAAB+tm8I=")</f>
        <v>#VALUE!</v>
      </c>
      <c r="GN24" t="e">
        <f>AND(Proyecto!#REF!,"AAAAAB+tm8M=")</f>
        <v>#REF!</v>
      </c>
      <c r="GO24" t="e">
        <f>AND(Proyecto!B3,"AAAAAB+tm8Q=")</f>
        <v>#VALUE!</v>
      </c>
      <c r="GP24" t="e">
        <f>AND(Proyecto!J3,"AAAAAB+tm8U=")</f>
        <v>#VALUE!</v>
      </c>
      <c r="GQ24" t="e">
        <f>AND(Proyecto!#REF!,"AAAAAB+tm8Y=")</f>
        <v>#REF!</v>
      </c>
      <c r="GR24" t="e">
        <f>AND(Proyecto!#REF!,"AAAAAB+tm8c=")</f>
        <v>#REF!</v>
      </c>
      <c r="GS24" t="e">
        <f>AND(Proyecto!L3,"AAAAAB+tm8g=")</f>
        <v>#VALUE!</v>
      </c>
      <c r="GT24" t="e">
        <f>AND(Proyecto!#REF!,"AAAAAB+tm8k=")</f>
        <v>#REF!</v>
      </c>
      <c r="GU24" t="e">
        <f>AND(Proyecto!#REF!,"AAAAAB+tm8o=")</f>
        <v>#REF!</v>
      </c>
      <c r="GV24">
        <f>IF(Proyecto!4:4,"AAAAAB+tm8s=",0)</f>
        <v>0</v>
      </c>
      <c r="GW24" t="e">
        <f>AND(Proyecto!A4,"AAAAAB+tm8w=")</f>
        <v>#VALUE!</v>
      </c>
      <c r="GX24" t="e">
        <f>AND(Proyecto!#REF!,"AAAAAB+tm80=")</f>
        <v>#REF!</v>
      </c>
      <c r="GY24" t="b">
        <f>AND(Proyecto!B4,"AAAAAB+tm84=")</f>
        <v>1</v>
      </c>
      <c r="GZ24" t="b">
        <f>AND(Proyecto!J4,"AAAAAB+tm88=")</f>
        <v>1</v>
      </c>
      <c r="HA24" t="e">
        <f>AND(Proyecto!#REF!,"AAAAAB+tm9A=")</f>
        <v>#REF!</v>
      </c>
      <c r="HB24" t="e">
        <f>AND(Proyecto!#REF!,"AAAAAB+tm9E=")</f>
        <v>#REF!</v>
      </c>
      <c r="HC24" t="e">
        <f>AND(Proyecto!L4,"AAAAAB+tm9I=")</f>
        <v>#VALUE!</v>
      </c>
      <c r="HD24" t="e">
        <f>AND(Proyecto!#REF!,"AAAAAB+tm9M=")</f>
        <v>#REF!</v>
      </c>
      <c r="HE24" t="e">
        <f>AND(Proyecto!#REF!,"AAAAAB+tm9Q=")</f>
        <v>#REF!</v>
      </c>
      <c r="HF24">
        <f>IF(Proyecto!5:5,"AAAAAB+tm9U=",0)</f>
        <v>0</v>
      </c>
      <c r="HG24" t="e">
        <f>AND(Proyecto!A5,"AAAAAB+tm9Y=")</f>
        <v>#VALUE!</v>
      </c>
      <c r="HH24" t="e">
        <f>AND(Proyecto!#REF!,"AAAAAB+tm9c=")</f>
        <v>#REF!</v>
      </c>
      <c r="HI24" t="b">
        <f>AND(Proyecto!B5,"AAAAAB+tm9g=")</f>
        <v>1</v>
      </c>
      <c r="HJ24" t="b">
        <f>AND(Proyecto!J5,"AAAAAB+tm9k=")</f>
        <v>1</v>
      </c>
      <c r="HK24" t="e">
        <f>AND(Proyecto!#REF!,"AAAAAB+tm9o=")</f>
        <v>#REF!</v>
      </c>
      <c r="HL24" t="e">
        <f>AND(Proyecto!#REF!,"AAAAAB+tm9s=")</f>
        <v>#REF!</v>
      </c>
      <c r="HM24" t="e">
        <f>AND(Proyecto!L5,"AAAAAB+tm9w=")</f>
        <v>#VALUE!</v>
      </c>
      <c r="HN24" t="e">
        <f>AND(Proyecto!#REF!,"AAAAAB+tm90=")</f>
        <v>#REF!</v>
      </c>
      <c r="HO24" t="e">
        <f>AND(Proyecto!#REF!,"AAAAAB+tm94=")</f>
        <v>#REF!</v>
      </c>
      <c r="HP24">
        <f>IF(Proyecto!6:6,"AAAAAB+tm98=",0)</f>
        <v>0</v>
      </c>
      <c r="HQ24" t="e">
        <f>AND(Proyecto!A6,"AAAAAB+tm+A=")</f>
        <v>#VALUE!</v>
      </c>
      <c r="HR24" t="e">
        <f>AND(Proyecto!#REF!,"AAAAAB+tm+E=")</f>
        <v>#REF!</v>
      </c>
      <c r="HS24" t="b">
        <f>AND(Proyecto!B6,"AAAAAB+tm+I=")</f>
        <v>0</v>
      </c>
      <c r="HT24" t="b">
        <f>AND(Proyecto!J6,"AAAAAB+tm+M=")</f>
        <v>0</v>
      </c>
      <c r="HU24" t="e">
        <f>AND(Proyecto!#REF!,"AAAAAB+tm+Q=")</f>
        <v>#REF!</v>
      </c>
      <c r="HV24" t="e">
        <f>AND(Proyecto!#REF!,"AAAAAB+tm+U=")</f>
        <v>#REF!</v>
      </c>
      <c r="HW24" t="e">
        <f>AND(Proyecto!L6,"AAAAAB+tm+Y=")</f>
        <v>#VALUE!</v>
      </c>
      <c r="HX24" t="e">
        <f>AND(Proyecto!#REF!,"AAAAAB+tm+c=")</f>
        <v>#REF!</v>
      </c>
      <c r="HY24" t="e">
        <f>AND(Proyecto!#REF!,"AAAAAB+tm+g=")</f>
        <v>#REF!</v>
      </c>
      <c r="HZ24" t="e">
        <f>IF(Proyecto!#REF!,"AAAAAB+tm+k=",0)</f>
        <v>#REF!</v>
      </c>
      <c r="IA24" t="e">
        <f>AND(Proyecto!#REF!,"AAAAAB+tm+o=")</f>
        <v>#REF!</v>
      </c>
      <c r="IB24" t="e">
        <f>AND(Proyecto!#REF!,"AAAAAB+tm+s=")</f>
        <v>#REF!</v>
      </c>
      <c r="IC24" t="e">
        <f>AND(Proyecto!#REF!,"AAAAAB+tm+w=")</f>
        <v>#REF!</v>
      </c>
      <c r="ID24" t="e">
        <f>AND(Proyecto!#REF!,"AAAAAB+tm+0=")</f>
        <v>#REF!</v>
      </c>
      <c r="IE24" t="e">
        <f>AND(Proyecto!#REF!,"AAAAAB+tm+4=")</f>
        <v>#REF!</v>
      </c>
      <c r="IF24" t="e">
        <f>AND(Proyecto!#REF!,"AAAAAB+tm+8=")</f>
        <v>#REF!</v>
      </c>
      <c r="IG24" t="e">
        <f>AND(Proyecto!#REF!,"AAAAAB+tm/A=")</f>
        <v>#REF!</v>
      </c>
      <c r="IH24" t="e">
        <f>AND(Proyecto!#REF!,"AAAAAB+tm/E=")</f>
        <v>#REF!</v>
      </c>
      <c r="II24" t="e">
        <f>AND(Proyecto!#REF!,"AAAAAB+tm/I=")</f>
        <v>#REF!</v>
      </c>
      <c r="IJ24">
        <f>IF(Proyecto!7:7,"AAAAAB+tm/M=",0)</f>
        <v>0</v>
      </c>
      <c r="IK24" t="e">
        <f>AND(Proyecto!A7,"AAAAAB+tm/Q=")</f>
        <v>#VALUE!</v>
      </c>
      <c r="IL24" t="e">
        <f>AND(Proyecto!#REF!,"AAAAAB+tm/U=")</f>
        <v>#REF!</v>
      </c>
      <c r="IM24" t="b">
        <f>AND(Proyecto!B7,"AAAAAB+tm/Y=")</f>
        <v>1</v>
      </c>
      <c r="IN24" t="b">
        <f>AND(Proyecto!J7,"AAAAAB+tm/c=")</f>
        <v>1</v>
      </c>
      <c r="IO24" t="e">
        <f>AND(Proyecto!#REF!,"AAAAAB+tm/g=")</f>
        <v>#REF!</v>
      </c>
      <c r="IP24" t="e">
        <f>AND(Proyecto!#REF!,"AAAAAB+tm/k=")</f>
        <v>#REF!</v>
      </c>
      <c r="IQ24" t="e">
        <f>AND(Proyecto!L7,"AAAAAB+tm/o=")</f>
        <v>#VALUE!</v>
      </c>
      <c r="IR24" t="e">
        <f>AND(Proyecto!#REF!,"AAAAAB+tm/s=")</f>
        <v>#REF!</v>
      </c>
      <c r="IS24" t="e">
        <f>AND(Proyecto!#REF!,"AAAAAB+tm/w=")</f>
        <v>#REF!</v>
      </c>
      <c r="IT24">
        <f>IF(Proyecto!8:8,"AAAAAB+tm/0=",0)</f>
        <v>0</v>
      </c>
      <c r="IU24" t="e">
        <f>AND(Proyecto!A8,"AAAAAB+tm/4=")</f>
        <v>#VALUE!</v>
      </c>
      <c r="IV24" t="e">
        <f>AND(Proyecto!#REF!,"AAAAAB+tm/8=")</f>
        <v>#REF!</v>
      </c>
    </row>
    <row r="25" spans="1:256" x14ac:dyDescent="0.35">
      <c r="A25" t="b">
        <f>AND(Proyecto!B8,"AAAAAGvbfgA=")</f>
        <v>1</v>
      </c>
      <c r="B25" t="b">
        <f>AND(Proyecto!J8,"AAAAAGvbfgE=")</f>
        <v>0</v>
      </c>
      <c r="C25" t="e">
        <f>AND(Proyecto!#REF!,"AAAAAGvbfgI=")</f>
        <v>#REF!</v>
      </c>
      <c r="D25" t="e">
        <f>AND(Proyecto!#REF!,"AAAAAGvbfgM=")</f>
        <v>#REF!</v>
      </c>
      <c r="E25" t="e">
        <f>AND(Proyecto!L8,"AAAAAGvbfgQ=")</f>
        <v>#VALUE!</v>
      </c>
      <c r="F25" t="e">
        <f>AND(Proyecto!#REF!,"AAAAAGvbfgU=")</f>
        <v>#REF!</v>
      </c>
      <c r="G25" t="e">
        <f>AND(Proyecto!#REF!,"AAAAAGvbfgY=")</f>
        <v>#REF!</v>
      </c>
      <c r="H25" t="str">
        <f>IF(Proyecto!9:9,"AAAAAGvbfgc=",0)</f>
        <v>AAAAAGvbfgc=</v>
      </c>
      <c r="I25" t="e">
        <f>AND(Proyecto!A9,"AAAAAGvbfgg=")</f>
        <v>#VALUE!</v>
      </c>
      <c r="J25" t="e">
        <f>AND(Proyecto!#REF!,"AAAAAGvbfgk=")</f>
        <v>#REF!</v>
      </c>
      <c r="K25" t="b">
        <f>AND(Proyecto!B9,"AAAAAGvbfgo=")</f>
        <v>1</v>
      </c>
      <c r="L25" t="b">
        <f>AND(Proyecto!J9,"AAAAAGvbfgs=")</f>
        <v>1</v>
      </c>
      <c r="M25" t="e">
        <f>AND(Proyecto!#REF!,"AAAAAGvbfgw=")</f>
        <v>#REF!</v>
      </c>
      <c r="N25" t="e">
        <f>AND(Proyecto!#REF!,"AAAAAGvbfg0=")</f>
        <v>#REF!</v>
      </c>
      <c r="O25" t="e">
        <f>AND(Proyecto!L9,"AAAAAGvbfg4=")</f>
        <v>#VALUE!</v>
      </c>
      <c r="P25" t="e">
        <f>AND(Proyecto!#REF!,"AAAAAGvbfg8=")</f>
        <v>#REF!</v>
      </c>
      <c r="Q25" t="e">
        <f>AND(Proyecto!#REF!,"AAAAAGvbfhA=")</f>
        <v>#REF!</v>
      </c>
      <c r="R25">
        <f>IF(Proyecto!10:10,"AAAAAGvbfhE=",0)</f>
        <v>0</v>
      </c>
      <c r="S25" t="e">
        <f>AND(Proyecto!A10,"AAAAAGvbfhI=")</f>
        <v>#VALUE!</v>
      </c>
      <c r="T25" t="e">
        <f>AND(Proyecto!#REF!,"AAAAAGvbfhM=")</f>
        <v>#REF!</v>
      </c>
      <c r="U25" t="b">
        <f>AND(Proyecto!B10,"AAAAAGvbfhQ=")</f>
        <v>1</v>
      </c>
      <c r="V25" t="b">
        <f>AND(Proyecto!J10,"AAAAAGvbfhU=")</f>
        <v>1</v>
      </c>
      <c r="W25" t="e">
        <f>AND(Proyecto!#REF!,"AAAAAGvbfhY=")</f>
        <v>#REF!</v>
      </c>
      <c r="X25" t="e">
        <f>AND(Proyecto!#REF!,"AAAAAGvbfhc=")</f>
        <v>#REF!</v>
      </c>
      <c r="Y25" t="e">
        <f>AND(Proyecto!L10,"AAAAAGvbfhg=")</f>
        <v>#VALUE!</v>
      </c>
      <c r="Z25" t="e">
        <f>AND(Proyecto!#REF!,"AAAAAGvbfhk=")</f>
        <v>#REF!</v>
      </c>
      <c r="AA25" t="e">
        <f>AND(Proyecto!#REF!,"AAAAAGvbfho=")</f>
        <v>#REF!</v>
      </c>
      <c r="AB25">
        <f>IF(Proyecto!11:11,"AAAAAGvbfhs=",0)</f>
        <v>0</v>
      </c>
      <c r="AC25" t="e">
        <f>AND(Proyecto!A11,"AAAAAGvbfhw=")</f>
        <v>#VALUE!</v>
      </c>
      <c r="AD25" t="e">
        <f>AND(Proyecto!#REF!,"AAAAAGvbfh0=")</f>
        <v>#REF!</v>
      </c>
      <c r="AE25" t="b">
        <f>AND(Proyecto!B11,"AAAAAGvbfh4=")</f>
        <v>1</v>
      </c>
      <c r="AF25" t="b">
        <f>AND(Proyecto!J11,"AAAAAGvbfh8=")</f>
        <v>1</v>
      </c>
      <c r="AG25" t="e">
        <f>AND(Proyecto!#REF!,"AAAAAGvbfiA=")</f>
        <v>#REF!</v>
      </c>
      <c r="AH25" t="e">
        <f>AND(Proyecto!#REF!,"AAAAAGvbfiE=")</f>
        <v>#REF!</v>
      </c>
      <c r="AI25" t="e">
        <f>AND(Proyecto!L11,"AAAAAGvbfiI=")</f>
        <v>#VALUE!</v>
      </c>
      <c r="AJ25" t="e">
        <f>AND(Proyecto!#REF!,"AAAAAGvbfiM=")</f>
        <v>#REF!</v>
      </c>
      <c r="AK25" t="e">
        <f>AND(Proyecto!#REF!,"AAAAAGvbfiQ=")</f>
        <v>#REF!</v>
      </c>
      <c r="AL25">
        <f>IF(Proyecto!12:12,"AAAAAGvbfiU=",0)</f>
        <v>0</v>
      </c>
      <c r="AM25" t="e">
        <f>AND(Proyecto!A12,"AAAAAGvbfiY=")</f>
        <v>#VALUE!</v>
      </c>
      <c r="AN25" t="e">
        <f>AND(Proyecto!#REF!,"AAAAAGvbfic=")</f>
        <v>#REF!</v>
      </c>
      <c r="AO25" t="b">
        <f>AND(Proyecto!B12,"AAAAAGvbfig=")</f>
        <v>1</v>
      </c>
      <c r="AP25" t="b">
        <f>AND(Proyecto!J12,"AAAAAGvbfik=")</f>
        <v>1</v>
      </c>
      <c r="AQ25" t="e">
        <f>AND(Proyecto!#REF!,"AAAAAGvbfio=")</f>
        <v>#REF!</v>
      </c>
      <c r="AR25" t="e">
        <f>AND(Proyecto!#REF!,"AAAAAGvbfis=")</f>
        <v>#REF!</v>
      </c>
      <c r="AS25" t="e">
        <f>AND(Proyecto!L12,"AAAAAGvbfiw=")</f>
        <v>#VALUE!</v>
      </c>
      <c r="AT25" t="e">
        <f>AND(Proyecto!#REF!,"AAAAAGvbfi0=")</f>
        <v>#REF!</v>
      </c>
      <c r="AU25" t="e">
        <f>AND(Proyecto!#REF!,"AAAAAGvbfi4=")</f>
        <v>#REF!</v>
      </c>
      <c r="AV25">
        <f>IF(Proyecto!13:13,"AAAAAGvbfi8=",0)</f>
        <v>0</v>
      </c>
      <c r="AW25" t="e">
        <f>AND(Proyecto!A13,"AAAAAGvbfjA=")</f>
        <v>#VALUE!</v>
      </c>
      <c r="AX25" t="e">
        <f>AND(Proyecto!#REF!,"AAAAAGvbfjE=")</f>
        <v>#REF!</v>
      </c>
      <c r="AY25" t="b">
        <f>AND(Proyecto!B13,"AAAAAGvbfjI=")</f>
        <v>1</v>
      </c>
      <c r="AZ25" t="b">
        <f>AND(Proyecto!J13,"AAAAAGvbfjM=")</f>
        <v>1</v>
      </c>
      <c r="BA25" t="e">
        <f>AND(Proyecto!#REF!,"AAAAAGvbfjQ=")</f>
        <v>#REF!</v>
      </c>
      <c r="BB25" t="e">
        <f>AND(Proyecto!#REF!,"AAAAAGvbfjU=")</f>
        <v>#REF!</v>
      </c>
      <c r="BC25" t="e">
        <f>AND(Proyecto!L13,"AAAAAGvbfjY=")</f>
        <v>#VALUE!</v>
      </c>
      <c r="BD25" t="e">
        <f>AND(Proyecto!#REF!,"AAAAAGvbfjc=")</f>
        <v>#REF!</v>
      </c>
      <c r="BE25" t="e">
        <f>AND(Proyecto!#REF!,"AAAAAGvbfjg=")</f>
        <v>#REF!</v>
      </c>
      <c r="BF25">
        <f>IF(Proyecto!14:14,"AAAAAGvbfjk=",0)</f>
        <v>0</v>
      </c>
      <c r="BG25" t="e">
        <f>AND(Proyecto!A14,"AAAAAGvbfjo=")</f>
        <v>#VALUE!</v>
      </c>
      <c r="BH25" t="e">
        <f>AND(Proyecto!#REF!,"AAAAAGvbfjs=")</f>
        <v>#REF!</v>
      </c>
      <c r="BI25" t="b">
        <f>AND(Proyecto!B14,"AAAAAGvbfjw=")</f>
        <v>1</v>
      </c>
      <c r="BJ25" t="b">
        <f>AND(Proyecto!J14,"AAAAAGvbfj0=")</f>
        <v>1</v>
      </c>
      <c r="BK25" t="e">
        <f>AND(Proyecto!#REF!,"AAAAAGvbfj4=")</f>
        <v>#REF!</v>
      </c>
      <c r="BL25" t="e">
        <f>AND(Proyecto!#REF!,"AAAAAGvbfj8=")</f>
        <v>#REF!</v>
      </c>
      <c r="BM25" t="e">
        <f>AND(Proyecto!L14,"AAAAAGvbfkA=")</f>
        <v>#VALUE!</v>
      </c>
      <c r="BN25" t="e">
        <f>AND(Proyecto!#REF!,"AAAAAGvbfkE=")</f>
        <v>#REF!</v>
      </c>
      <c r="BO25" t="e">
        <f>AND(Proyecto!#REF!,"AAAAAGvbfkI=")</f>
        <v>#REF!</v>
      </c>
      <c r="BP25">
        <f>IF(Proyecto!15:15,"AAAAAGvbfkM=",0)</f>
        <v>0</v>
      </c>
      <c r="BQ25" t="e">
        <f>AND(Proyecto!A15,"AAAAAGvbfkQ=")</f>
        <v>#VALUE!</v>
      </c>
      <c r="BR25" t="e">
        <f>AND(Proyecto!#REF!,"AAAAAGvbfkU=")</f>
        <v>#REF!</v>
      </c>
      <c r="BS25" t="b">
        <f>AND(Proyecto!B15,"AAAAAGvbfkY=")</f>
        <v>1</v>
      </c>
      <c r="BT25" t="b">
        <f>AND(Proyecto!J15,"AAAAAGvbfkc=")</f>
        <v>1</v>
      </c>
      <c r="BU25" t="e">
        <f>AND(Proyecto!#REF!,"AAAAAGvbfkg=")</f>
        <v>#REF!</v>
      </c>
      <c r="BV25" t="e">
        <f>AND(Proyecto!#REF!,"AAAAAGvbfkk=")</f>
        <v>#REF!</v>
      </c>
      <c r="BW25" t="e">
        <f>AND(Proyecto!L15,"AAAAAGvbfko=")</f>
        <v>#VALUE!</v>
      </c>
      <c r="BX25" t="e">
        <f>AND(Proyecto!#REF!,"AAAAAGvbfks=")</f>
        <v>#REF!</v>
      </c>
      <c r="BY25" t="e">
        <f>AND(Proyecto!#REF!,"AAAAAGvbfkw=")</f>
        <v>#REF!</v>
      </c>
      <c r="BZ25">
        <f>IF(Proyecto!16:16,"AAAAAGvbfk0=",0)</f>
        <v>0</v>
      </c>
      <c r="CA25" t="e">
        <f>AND(Proyecto!A16,"AAAAAGvbfk4=")</f>
        <v>#VALUE!</v>
      </c>
      <c r="CB25" t="e">
        <f>AND(Proyecto!#REF!,"AAAAAGvbfk8=")</f>
        <v>#REF!</v>
      </c>
      <c r="CC25" t="b">
        <f>AND(Proyecto!B16,"AAAAAGvbflA=")</f>
        <v>1</v>
      </c>
      <c r="CD25" t="b">
        <f>AND(Proyecto!J16,"AAAAAGvbflE=")</f>
        <v>1</v>
      </c>
      <c r="CE25" t="e">
        <f>AND(Proyecto!#REF!,"AAAAAGvbflI=")</f>
        <v>#REF!</v>
      </c>
      <c r="CF25" t="e">
        <f>AND(Proyecto!#REF!,"AAAAAGvbflM=")</f>
        <v>#REF!</v>
      </c>
      <c r="CG25" t="e">
        <f>AND(Proyecto!L16,"AAAAAGvbflQ=")</f>
        <v>#VALUE!</v>
      </c>
      <c r="CH25" t="e">
        <f>AND(Proyecto!#REF!,"AAAAAGvbflU=")</f>
        <v>#REF!</v>
      </c>
      <c r="CI25" t="e">
        <f>AND(Proyecto!#REF!,"AAAAAGvbflY=")</f>
        <v>#REF!</v>
      </c>
      <c r="CJ25">
        <f>IF(Proyecto!17:17,"AAAAAGvbflc=",0)</f>
        <v>0</v>
      </c>
      <c r="CK25" t="e">
        <f>AND(Proyecto!A17,"AAAAAGvbflg=")</f>
        <v>#VALUE!</v>
      </c>
      <c r="CL25" t="e">
        <f>AND(Proyecto!#REF!,"AAAAAGvbflk=")</f>
        <v>#REF!</v>
      </c>
      <c r="CM25" t="b">
        <f>AND(Proyecto!B17,"AAAAAGvbflo=")</f>
        <v>1</v>
      </c>
      <c r="CN25" t="b">
        <f>AND(Proyecto!J17,"AAAAAGvbfls=")</f>
        <v>1</v>
      </c>
      <c r="CO25" t="e">
        <f>AND(Proyecto!#REF!,"AAAAAGvbflw=")</f>
        <v>#REF!</v>
      </c>
      <c r="CP25" t="e">
        <f>AND(Proyecto!#REF!,"AAAAAGvbfl0=")</f>
        <v>#REF!</v>
      </c>
      <c r="CQ25" t="e">
        <f>AND(Proyecto!L17,"AAAAAGvbfl4=")</f>
        <v>#VALUE!</v>
      </c>
      <c r="CR25" t="e">
        <f>AND(Proyecto!#REF!,"AAAAAGvbfl8=")</f>
        <v>#REF!</v>
      </c>
      <c r="CS25" t="e">
        <f>AND(Proyecto!#REF!,"AAAAAGvbfmA=")</f>
        <v>#REF!</v>
      </c>
      <c r="CT25" t="e">
        <f>IF(Proyecto!#REF!,"AAAAAGvbfmE=",0)</f>
        <v>#REF!</v>
      </c>
      <c r="CU25" t="e">
        <f>AND(Proyecto!#REF!,"AAAAAGvbfmI=")</f>
        <v>#REF!</v>
      </c>
      <c r="CV25" t="e">
        <f>AND(Proyecto!#REF!,"AAAAAGvbfmM=")</f>
        <v>#REF!</v>
      </c>
      <c r="CW25" t="e">
        <f>AND(Proyecto!#REF!,"AAAAAGvbfmQ=")</f>
        <v>#REF!</v>
      </c>
      <c r="CX25" t="e">
        <f>AND(Proyecto!#REF!,"AAAAAGvbfmU=")</f>
        <v>#REF!</v>
      </c>
      <c r="CY25" t="e">
        <f>AND(Proyecto!#REF!,"AAAAAGvbfmY=")</f>
        <v>#REF!</v>
      </c>
      <c r="CZ25" t="e">
        <f>AND(Proyecto!#REF!,"AAAAAGvbfmc=")</f>
        <v>#REF!</v>
      </c>
      <c r="DA25" t="e">
        <f>AND(Proyecto!#REF!,"AAAAAGvbfmg=")</f>
        <v>#REF!</v>
      </c>
      <c r="DB25" t="e">
        <f>AND(Proyecto!#REF!,"AAAAAGvbfmk=")</f>
        <v>#REF!</v>
      </c>
      <c r="DC25" t="e">
        <f>AND(Proyecto!#REF!,"AAAAAGvbfmo=")</f>
        <v>#REF!</v>
      </c>
      <c r="DD25" t="e">
        <f>IF(Proyecto!A:A,"AAAAAGvbfms=",0)</f>
        <v>#VALUE!</v>
      </c>
      <c r="DE25" t="e">
        <f>IF(_xlfn.SINGLE(Proyecto!#REF!),"AAAAAGvbfmw=",0)</f>
        <v>#REF!</v>
      </c>
      <c r="DF25" t="str">
        <f>IF(Proyecto!B:B,"AAAAAGvbfm0=",0)</f>
        <v>AAAAAGvbfm0=</v>
      </c>
      <c r="DG25">
        <f>IF(Proyecto!J:J,"AAAAAGvbfm4=",0)</f>
        <v>0</v>
      </c>
      <c r="DH25" t="e">
        <f>IF(_xlfn.SINGLE(Proyecto!#REF!),"AAAAAGvbfm8=",0)</f>
        <v>#REF!</v>
      </c>
      <c r="DI25" t="e">
        <f>IF(_xlfn.SINGLE(Proyecto!#REF!),"AAAAAGvbfnA=",0)</f>
        <v>#REF!</v>
      </c>
      <c r="DJ25">
        <f>IF(Proyecto!L:L,"AAAAAGvbfnE=",0)</f>
        <v>0</v>
      </c>
      <c r="DK25" t="e">
        <f>IF(Proyecto!#REF!,"AAAAAGvbfnI=",0)</f>
        <v>#REF!</v>
      </c>
      <c r="DL25" t="str">
        <f>IF(Proyecto!M:M,"AAAAAGvbfnM=",0)</f>
        <v>AAAAAGvbfnM=</v>
      </c>
      <c r="DM25">
        <f>IF(Proyecto!N:N,"AAAAAGvbfnQ=",0)</f>
        <v>0</v>
      </c>
      <c r="DN25">
        <f>IF(Proyecto!O:O,"AAAAAGvbfnU=",0)</f>
        <v>0</v>
      </c>
      <c r="DO25">
        <f>IF(Proyecto!Q:Q,"AAAAAGvbfnY=",0)</f>
        <v>0</v>
      </c>
      <c r="DP25">
        <f>IF(Proyecto!R:R,"AAAAAGvbfnc=",0)</f>
        <v>0</v>
      </c>
      <c r="DQ25">
        <f>IF(Proyecto!S:S,"AAAAAGvbfng=",0)</f>
        <v>0</v>
      </c>
      <c r="DR25">
        <f>IF(Proyecto!T:T,"AAAAAGvbfnk=",0)</f>
        <v>0</v>
      </c>
      <c r="DS25" t="e">
        <f>IF(Examenes!#REF!,"AAAAAGvbfno=",0)</f>
        <v>#REF!</v>
      </c>
      <c r="DT25" t="e">
        <f>AND(Examenes!#REF!,"AAAAAGvbfns=")</f>
        <v>#REF!</v>
      </c>
      <c r="DU25" t="e">
        <f>AND(Examenes!#REF!,"AAAAAGvbfnw=")</f>
        <v>#REF!</v>
      </c>
      <c r="DV25" t="e">
        <f>AND(Examenes!#REF!,"AAAAAGvbfn0=")</f>
        <v>#REF!</v>
      </c>
      <c r="DW25" t="e">
        <f>AND(Examenes!#REF!,"AAAAAGvbfn4=")</f>
        <v>#REF!</v>
      </c>
      <c r="DX25" t="e">
        <f>AND(Examenes!#REF!,"AAAAAGvbfn8=")</f>
        <v>#REF!</v>
      </c>
      <c r="DY25" t="e">
        <f>AND(Examenes!#REF!,"AAAAAGvbfoA=")</f>
        <v>#REF!</v>
      </c>
      <c r="DZ25" t="e">
        <f>AND(Examenes!#REF!,"AAAAAGvbfoE=")</f>
        <v>#REF!</v>
      </c>
      <c r="EA25" t="e">
        <f>AND(Examenes!#REF!,"AAAAAGvbfoI=")</f>
        <v>#REF!</v>
      </c>
      <c r="EB25" t="e">
        <f>AND(Examenes!#REF!,"AAAAAGvbfoM=")</f>
        <v>#REF!</v>
      </c>
      <c r="EC25" t="e">
        <f>AND(Examenes!#REF!,"AAAAAGvbfoQ=")</f>
        <v>#REF!</v>
      </c>
      <c r="ED25" t="e">
        <f>AND(Examenes!#REF!,"AAAAAGvbfoU=")</f>
        <v>#REF!</v>
      </c>
      <c r="EE25" t="e">
        <f>IF(Examenes!#REF!,"AAAAAGvbfoY=",0)</f>
        <v>#REF!</v>
      </c>
      <c r="EF25" t="e">
        <f>AND(Examenes!#REF!,"AAAAAGvbfoc=")</f>
        <v>#REF!</v>
      </c>
      <c r="EG25" t="e">
        <f>AND(Examenes!#REF!,"AAAAAGvbfog=")</f>
        <v>#REF!</v>
      </c>
      <c r="EH25" t="e">
        <f>AND(Examenes!#REF!,"AAAAAGvbfok=")</f>
        <v>#REF!</v>
      </c>
      <c r="EI25" t="e">
        <f>AND(Examenes!#REF!,"AAAAAGvbfoo=")</f>
        <v>#REF!</v>
      </c>
      <c r="EJ25" t="e">
        <f>AND(Examenes!#REF!,"AAAAAGvbfos=")</f>
        <v>#REF!</v>
      </c>
      <c r="EK25" t="e">
        <f>AND(Examenes!#REF!,"AAAAAGvbfow=")</f>
        <v>#REF!</v>
      </c>
      <c r="EL25" t="e">
        <f>AND(Examenes!#REF!,"AAAAAGvbfo0=")</f>
        <v>#REF!</v>
      </c>
      <c r="EM25" t="e">
        <f>AND(Examenes!#REF!,"AAAAAGvbfo4=")</f>
        <v>#REF!</v>
      </c>
      <c r="EN25" t="e">
        <f>AND(Examenes!#REF!,"AAAAAGvbfo8=")</f>
        <v>#REF!</v>
      </c>
      <c r="EO25" t="e">
        <f>AND(Examenes!#REF!,"AAAAAGvbfpA=")</f>
        <v>#REF!</v>
      </c>
      <c r="EP25" t="e">
        <f>AND(Examenes!#REF!,"AAAAAGvbfpE=")</f>
        <v>#REF!</v>
      </c>
      <c r="EQ25" t="e">
        <f>IF(Examenes!#REF!,"AAAAAGvbfpI=",0)</f>
        <v>#REF!</v>
      </c>
      <c r="ER25" t="e">
        <f>AND(Examenes!#REF!,"AAAAAGvbfpM=")</f>
        <v>#REF!</v>
      </c>
      <c r="ES25" t="e">
        <f>AND(Examenes!#REF!,"AAAAAGvbfpQ=")</f>
        <v>#REF!</v>
      </c>
      <c r="ET25" t="e">
        <f>AND(Examenes!#REF!,"AAAAAGvbfpU=")</f>
        <v>#REF!</v>
      </c>
      <c r="EU25" t="e">
        <f>AND(Examenes!#REF!,"AAAAAGvbfpY=")</f>
        <v>#REF!</v>
      </c>
      <c r="EV25" t="e">
        <f>AND(Examenes!#REF!,"AAAAAGvbfpc=")</f>
        <v>#REF!</v>
      </c>
      <c r="EW25" t="e">
        <f>AND(Examenes!#REF!,"AAAAAGvbfpg=")</f>
        <v>#REF!</v>
      </c>
      <c r="EX25" t="e">
        <f>AND(Examenes!#REF!,"AAAAAGvbfpk=")</f>
        <v>#REF!</v>
      </c>
      <c r="EY25" t="e">
        <f>AND(Examenes!#REF!,"AAAAAGvbfpo=")</f>
        <v>#REF!</v>
      </c>
      <c r="EZ25" t="e">
        <f>AND(Examenes!#REF!,"AAAAAGvbfps=")</f>
        <v>#REF!</v>
      </c>
      <c r="FA25" t="e">
        <f>AND(Examenes!#REF!,"AAAAAGvbfpw=")</f>
        <v>#REF!</v>
      </c>
      <c r="FB25" t="e">
        <f>AND(Examenes!#REF!,"AAAAAGvbfp0=")</f>
        <v>#REF!</v>
      </c>
      <c r="FC25" t="e">
        <f>IF(Examenes!#REF!,"AAAAAGvbfp4=",0)</f>
        <v>#REF!</v>
      </c>
      <c r="FD25" t="e">
        <f>AND(Examenes!#REF!,"AAAAAGvbfp8=")</f>
        <v>#REF!</v>
      </c>
      <c r="FE25" t="e">
        <f>AND(Examenes!#REF!,"AAAAAGvbfqA=")</f>
        <v>#REF!</v>
      </c>
      <c r="FF25" t="e">
        <f>AND(Examenes!#REF!,"AAAAAGvbfqE=")</f>
        <v>#REF!</v>
      </c>
      <c r="FG25" t="e">
        <f>AND(Examenes!#REF!,"AAAAAGvbfqI=")</f>
        <v>#REF!</v>
      </c>
      <c r="FH25" t="e">
        <f>AND(Examenes!#REF!,"AAAAAGvbfqM=")</f>
        <v>#REF!</v>
      </c>
      <c r="FI25" t="e">
        <f>AND(Examenes!#REF!,"AAAAAGvbfqQ=")</f>
        <v>#REF!</v>
      </c>
      <c r="FJ25" t="e">
        <f>AND(Examenes!#REF!,"AAAAAGvbfqU=")</f>
        <v>#REF!</v>
      </c>
      <c r="FK25" t="e">
        <f>AND(Examenes!#REF!,"AAAAAGvbfqY=")</f>
        <v>#REF!</v>
      </c>
      <c r="FL25" t="e">
        <f>AND(Examenes!#REF!,"AAAAAGvbfqc=")</f>
        <v>#REF!</v>
      </c>
      <c r="FM25" t="e">
        <f>AND(Examenes!#REF!,"AAAAAGvbfqg=")</f>
        <v>#REF!</v>
      </c>
      <c r="FN25" t="e">
        <f>AND(Examenes!#REF!,"AAAAAGvbfqk=")</f>
        <v>#REF!</v>
      </c>
      <c r="FO25" t="e">
        <f>IF(Examenes!#REF!,"AAAAAGvbfqo=",0)</f>
        <v>#REF!</v>
      </c>
      <c r="FP25" t="e">
        <f>AND(Examenes!#REF!,"AAAAAGvbfqs=")</f>
        <v>#REF!</v>
      </c>
      <c r="FQ25" t="e">
        <f>AND(Examenes!#REF!,"AAAAAGvbfqw=")</f>
        <v>#REF!</v>
      </c>
      <c r="FR25" t="e">
        <f>AND(Examenes!#REF!,"AAAAAGvbfq0=")</f>
        <v>#REF!</v>
      </c>
      <c r="FS25" t="e">
        <f>AND(Examenes!#REF!,"AAAAAGvbfq4=")</f>
        <v>#REF!</v>
      </c>
      <c r="FT25" t="e">
        <f>AND(Examenes!#REF!,"AAAAAGvbfq8=")</f>
        <v>#REF!</v>
      </c>
      <c r="FU25" t="e">
        <f>AND(Examenes!#REF!,"AAAAAGvbfrA=")</f>
        <v>#REF!</v>
      </c>
      <c r="FV25" t="e">
        <f>AND(Examenes!#REF!,"AAAAAGvbfrE=")</f>
        <v>#REF!</v>
      </c>
      <c r="FW25" t="e">
        <f>AND(Examenes!#REF!,"AAAAAGvbfrI=")</f>
        <v>#REF!</v>
      </c>
      <c r="FX25" t="e">
        <f>AND(Examenes!#REF!,"AAAAAGvbfrM=")</f>
        <v>#REF!</v>
      </c>
      <c r="FY25" t="e">
        <f>AND(Examenes!#REF!,"AAAAAGvbfrQ=")</f>
        <v>#REF!</v>
      </c>
      <c r="FZ25" t="e">
        <f>AND(Examenes!#REF!,"AAAAAGvbfrU=")</f>
        <v>#REF!</v>
      </c>
      <c r="GA25">
        <f>IF(Examenes!1:1,"AAAAAGvbfrY=",0)</f>
        <v>0</v>
      </c>
      <c r="GB25" t="e">
        <f>AND(Examenes!A1,"AAAAAGvbfrc=")</f>
        <v>#VALUE!</v>
      </c>
      <c r="GC25" t="e">
        <f>AND(Examenes!#REF!,"AAAAAGvbfrg=")</f>
        <v>#REF!</v>
      </c>
      <c r="GD25" t="e">
        <f>AND(Examenes!B1,"AAAAAGvbfrk=")</f>
        <v>#VALUE!</v>
      </c>
      <c r="GE25" t="e">
        <f>AND(Examenes!#REF!,"AAAAAGvbfro=")</f>
        <v>#REF!</v>
      </c>
      <c r="GF25" t="e">
        <f>AND(Examenes!#REF!,"AAAAAGvbfrs=")</f>
        <v>#REF!</v>
      </c>
      <c r="GG25" t="e">
        <f>AND(Examenes!C1,"AAAAAGvbfrw=")</f>
        <v>#VALUE!</v>
      </c>
      <c r="GH25" t="e">
        <f>AND(Examenes!#REF!,"AAAAAGvbfr0=")</f>
        <v>#REF!</v>
      </c>
      <c r="GI25" t="e">
        <f>AND(Examenes!#REF!,"AAAAAGvbfr4=")</f>
        <v>#REF!</v>
      </c>
      <c r="GJ25" t="e">
        <f>AND(Examenes!D1,"AAAAAGvbfr8=")</f>
        <v>#VALUE!</v>
      </c>
      <c r="GK25" t="e">
        <f>AND(Examenes!#REF!,"AAAAAGvbfsA=")</f>
        <v>#REF!</v>
      </c>
      <c r="GL25" t="e">
        <f>AND(Examenes!E1,"AAAAAGvbfsE=")</f>
        <v>#VALUE!</v>
      </c>
      <c r="GM25">
        <f>IF(Examenes!2:2,"AAAAAGvbfsI=",0)</f>
        <v>0</v>
      </c>
      <c r="GN25" t="e">
        <f>AND(Examenes!A2,"AAAAAGvbfsM=")</f>
        <v>#VALUE!</v>
      </c>
      <c r="GO25" t="e">
        <f>AND(Examenes!#REF!,"AAAAAGvbfsQ=")</f>
        <v>#REF!</v>
      </c>
      <c r="GP25" t="e">
        <f>AND(Examenes!B2,"AAAAAGvbfsU=")</f>
        <v>#VALUE!</v>
      </c>
      <c r="GQ25" t="e">
        <f>AND(Examenes!#REF!,"AAAAAGvbfsY=")</f>
        <v>#REF!</v>
      </c>
      <c r="GR25" t="e">
        <f>AND(Examenes!#REF!,"AAAAAGvbfsc=")</f>
        <v>#REF!</v>
      </c>
      <c r="GS25" t="e">
        <f>AND(Examenes!C2,"AAAAAGvbfsg=")</f>
        <v>#VALUE!</v>
      </c>
      <c r="GT25" t="e">
        <f>AND(Examenes!#REF!,"AAAAAGvbfsk=")</f>
        <v>#REF!</v>
      </c>
      <c r="GU25" t="e">
        <f>AND(Examenes!#REF!,"AAAAAGvbfso=")</f>
        <v>#REF!</v>
      </c>
      <c r="GV25" t="e">
        <f>AND(Examenes!D2,"AAAAAGvbfss=")</f>
        <v>#VALUE!</v>
      </c>
      <c r="GW25" t="e">
        <f>AND(Examenes!#REF!,"AAAAAGvbfsw=")</f>
        <v>#REF!</v>
      </c>
      <c r="GX25" t="e">
        <f>AND(Examenes!E2,"AAAAAGvbfs0=")</f>
        <v>#VALUE!</v>
      </c>
      <c r="GY25">
        <f>IF(Examenes!3:3,"AAAAAGvbfs4=",0)</f>
        <v>0</v>
      </c>
      <c r="GZ25" t="e">
        <f>AND(Examenes!A3,"AAAAAGvbfs8=")</f>
        <v>#VALUE!</v>
      </c>
      <c r="HA25" t="e">
        <f>AND(Examenes!#REF!,"AAAAAGvbftA=")</f>
        <v>#REF!</v>
      </c>
      <c r="HB25" t="e">
        <f>AND(Examenes!B3,"AAAAAGvbftE=")</f>
        <v>#VALUE!</v>
      </c>
      <c r="HC25" t="e">
        <f>AND(Examenes!#REF!,"AAAAAGvbftI=")</f>
        <v>#REF!</v>
      </c>
      <c r="HD25" t="e">
        <f>AND(Examenes!#REF!,"AAAAAGvbftM=")</f>
        <v>#REF!</v>
      </c>
      <c r="HE25" t="e">
        <f>AND(Examenes!C3,"AAAAAGvbftQ=")</f>
        <v>#VALUE!</v>
      </c>
      <c r="HF25" t="e">
        <f>AND(Examenes!#REF!,"AAAAAGvbftU=")</f>
        <v>#REF!</v>
      </c>
      <c r="HG25" t="e">
        <f>AND(Examenes!#REF!,"AAAAAGvbftY=")</f>
        <v>#REF!</v>
      </c>
      <c r="HH25" t="e">
        <f>AND(Examenes!D3,"AAAAAGvbftc=")</f>
        <v>#VALUE!</v>
      </c>
      <c r="HI25" t="e">
        <f>AND(Examenes!#REF!,"AAAAAGvbftg=")</f>
        <v>#REF!</v>
      </c>
      <c r="HJ25" t="e">
        <f>AND(Examenes!E3,"AAAAAGvbftk=")</f>
        <v>#VALUE!</v>
      </c>
      <c r="HK25" t="e">
        <f>IF(Examenes!#REF!,"AAAAAGvbfto=",0)</f>
        <v>#REF!</v>
      </c>
      <c r="HL25" t="e">
        <f>AND(Examenes!#REF!,"AAAAAGvbfts=")</f>
        <v>#REF!</v>
      </c>
      <c r="HM25" t="e">
        <f>AND(Examenes!#REF!,"AAAAAGvbftw=")</f>
        <v>#REF!</v>
      </c>
      <c r="HN25" t="e">
        <f>AND(Examenes!#REF!,"AAAAAGvbft0=")</f>
        <v>#REF!</v>
      </c>
      <c r="HO25" t="e">
        <f>AND(Examenes!#REF!,"AAAAAGvbft4=")</f>
        <v>#REF!</v>
      </c>
      <c r="HP25" t="e">
        <f>AND(Examenes!#REF!,"AAAAAGvbft8=")</f>
        <v>#REF!</v>
      </c>
      <c r="HQ25" t="e">
        <f>AND(Examenes!#REF!,"AAAAAGvbfuA=")</f>
        <v>#REF!</v>
      </c>
      <c r="HR25" t="e">
        <f>AND(Examenes!#REF!,"AAAAAGvbfuE=")</f>
        <v>#REF!</v>
      </c>
      <c r="HS25" t="e">
        <f>AND(Examenes!#REF!,"AAAAAGvbfuI=")</f>
        <v>#REF!</v>
      </c>
      <c r="HT25" t="e">
        <f>AND(Examenes!#REF!,"AAAAAGvbfuM=")</f>
        <v>#REF!</v>
      </c>
      <c r="HU25" t="e">
        <f>AND(Examenes!#REF!,"AAAAAGvbfuQ=")</f>
        <v>#REF!</v>
      </c>
      <c r="HV25" t="e">
        <f>AND(Examenes!#REF!,"AAAAAGvbfuU=")</f>
        <v>#REF!</v>
      </c>
      <c r="HW25">
        <f>IF(Examenes!4:4,"AAAAAGvbfuY=",0)</f>
        <v>0</v>
      </c>
      <c r="HX25" t="e">
        <f>AND(Examenes!A4,"AAAAAGvbfuc=")</f>
        <v>#VALUE!</v>
      </c>
      <c r="HY25" t="e">
        <f>AND(Examenes!#REF!,"AAAAAGvbfug=")</f>
        <v>#REF!</v>
      </c>
      <c r="HZ25" t="b">
        <f>AND(Examenes!B4,"AAAAAGvbfuk=")</f>
        <v>1</v>
      </c>
      <c r="IA25" t="e">
        <f>AND(Examenes!#REF!,"AAAAAGvbfuo=")</f>
        <v>#REF!</v>
      </c>
      <c r="IB25" t="e">
        <f>AND(Examenes!#REF!,"AAAAAGvbfus=")</f>
        <v>#REF!</v>
      </c>
      <c r="IC25" t="b">
        <f>AND(Examenes!C4,"AAAAAGvbfuw=")</f>
        <v>1</v>
      </c>
      <c r="ID25" t="e">
        <f>AND(Examenes!#REF!,"AAAAAGvbfu0=")</f>
        <v>#REF!</v>
      </c>
      <c r="IE25" t="e">
        <f>AND(Examenes!#REF!,"AAAAAGvbfu4=")</f>
        <v>#REF!</v>
      </c>
      <c r="IF25" t="b">
        <f>AND(Examenes!D4,"AAAAAGvbfu8=")</f>
        <v>1</v>
      </c>
      <c r="IG25" t="e">
        <f>AND(Examenes!#REF!,"AAAAAGvbfvA=")</f>
        <v>#REF!</v>
      </c>
      <c r="IH25" t="b">
        <f>AND(Examenes!E4,"AAAAAGvbfvE=")</f>
        <v>1</v>
      </c>
      <c r="II25">
        <f>IF(Examenes!5:5,"AAAAAGvbfvI=",0)</f>
        <v>0</v>
      </c>
      <c r="IJ25" t="e">
        <f>AND(Examenes!A5,"AAAAAGvbfvM=")</f>
        <v>#VALUE!</v>
      </c>
      <c r="IK25" t="e">
        <f>AND(Examenes!#REF!,"AAAAAGvbfvQ=")</f>
        <v>#REF!</v>
      </c>
      <c r="IL25" t="b">
        <f>AND(Examenes!B5,"AAAAAGvbfvU=")</f>
        <v>1</v>
      </c>
      <c r="IM25" t="e">
        <f>AND(Examenes!#REF!,"AAAAAGvbfvY=")</f>
        <v>#REF!</v>
      </c>
      <c r="IN25" t="e">
        <f>AND(Examenes!#REF!,"AAAAAGvbfvc=")</f>
        <v>#REF!</v>
      </c>
      <c r="IO25" t="b">
        <f>AND(Examenes!C5,"AAAAAGvbfvg=")</f>
        <v>1</v>
      </c>
      <c r="IP25" t="e">
        <f>AND(Examenes!#REF!,"AAAAAGvbfvk=")</f>
        <v>#REF!</v>
      </c>
      <c r="IQ25" t="e">
        <f>AND(Examenes!#REF!,"AAAAAGvbfvo=")</f>
        <v>#REF!</v>
      </c>
      <c r="IR25" t="b">
        <f>AND(Examenes!D5,"AAAAAGvbfvs=")</f>
        <v>1</v>
      </c>
      <c r="IS25" t="e">
        <f>AND(Examenes!#REF!,"AAAAAGvbfvw=")</f>
        <v>#REF!</v>
      </c>
      <c r="IT25" t="b">
        <f>AND(Examenes!E5,"AAAAAGvbfv0=")</f>
        <v>1</v>
      </c>
      <c r="IU25">
        <f>IF(Examenes!6:6,"AAAAAGvbfv4=",0)</f>
        <v>0</v>
      </c>
      <c r="IV25" t="e">
        <f>AND(Examenes!A6,"AAAAAGvbfv8=")</f>
        <v>#VALUE!</v>
      </c>
    </row>
    <row r="26" spans="1:256" x14ac:dyDescent="0.35">
      <c r="A26" t="e">
        <f>AND(Examenes!#REF!,"AAAAAG7rtQA=")</f>
        <v>#REF!</v>
      </c>
      <c r="B26" t="b">
        <f>AND(Examenes!B6,"AAAAAG7rtQE=")</f>
        <v>0</v>
      </c>
      <c r="C26" t="e">
        <f>AND(Examenes!#REF!,"AAAAAG7rtQI=")</f>
        <v>#REF!</v>
      </c>
      <c r="D26" t="e">
        <f>AND(Examenes!#REF!,"AAAAAG7rtQM=")</f>
        <v>#REF!</v>
      </c>
      <c r="E26" t="b">
        <f>AND(Examenes!C6,"AAAAAG7rtQQ=")</f>
        <v>0</v>
      </c>
      <c r="F26" t="e">
        <f>AND(Examenes!#REF!,"AAAAAG7rtQU=")</f>
        <v>#REF!</v>
      </c>
      <c r="G26" t="e">
        <f>AND(Examenes!#REF!,"AAAAAG7rtQY=")</f>
        <v>#REF!</v>
      </c>
      <c r="H26" t="b">
        <f>AND(Examenes!D6,"AAAAAG7rtQc=")</f>
        <v>0</v>
      </c>
      <c r="I26" t="e">
        <f>AND(Examenes!#REF!,"AAAAAG7rtQg=")</f>
        <v>#REF!</v>
      </c>
      <c r="J26" t="b">
        <f>AND(Examenes!E6,"AAAAAG7rtQk=")</f>
        <v>0</v>
      </c>
      <c r="K26" t="e">
        <f>IF(Examenes!#REF!,"AAAAAG7rtQo=",0)</f>
        <v>#REF!</v>
      </c>
      <c r="L26" t="e">
        <f>AND(Examenes!#REF!,"AAAAAG7rtQs=")</f>
        <v>#REF!</v>
      </c>
      <c r="M26" t="e">
        <f>AND(Examenes!#REF!,"AAAAAG7rtQw=")</f>
        <v>#REF!</v>
      </c>
      <c r="N26" t="e">
        <f>AND(Examenes!#REF!,"AAAAAG7rtQ0=")</f>
        <v>#REF!</v>
      </c>
      <c r="O26" t="e">
        <f>AND(Examenes!#REF!,"AAAAAG7rtQ4=")</f>
        <v>#REF!</v>
      </c>
      <c r="P26" t="e">
        <f>AND(Examenes!#REF!,"AAAAAG7rtQ8=")</f>
        <v>#REF!</v>
      </c>
      <c r="Q26" t="e">
        <f>AND(Examenes!#REF!,"AAAAAG7rtRA=")</f>
        <v>#REF!</v>
      </c>
      <c r="R26" t="e">
        <f>AND(Examenes!#REF!,"AAAAAG7rtRE=")</f>
        <v>#REF!</v>
      </c>
      <c r="S26" t="e">
        <f>AND(Examenes!#REF!,"AAAAAG7rtRI=")</f>
        <v>#REF!</v>
      </c>
      <c r="T26" t="e">
        <f>AND(Examenes!#REF!,"AAAAAG7rtRM=")</f>
        <v>#REF!</v>
      </c>
      <c r="U26" t="e">
        <f>AND(Examenes!#REF!,"AAAAAG7rtRQ=")</f>
        <v>#REF!</v>
      </c>
      <c r="V26" t="e">
        <f>AND(Examenes!#REF!,"AAAAAG7rtRU=")</f>
        <v>#REF!</v>
      </c>
      <c r="W26">
        <f>IF(Examenes!7:7,"AAAAAG7rtRY=",0)</f>
        <v>0</v>
      </c>
      <c r="X26" t="e">
        <f>AND(Examenes!A7,"AAAAAG7rtRc=")</f>
        <v>#VALUE!</v>
      </c>
      <c r="Y26" t="e">
        <f>AND(Examenes!#REF!,"AAAAAG7rtRg=")</f>
        <v>#REF!</v>
      </c>
      <c r="Z26" t="b">
        <f>AND(Examenes!B7,"AAAAAG7rtRk=")</f>
        <v>1</v>
      </c>
      <c r="AA26" t="e">
        <f>AND(Examenes!#REF!,"AAAAAG7rtRo=")</f>
        <v>#REF!</v>
      </c>
      <c r="AB26" t="e">
        <f>AND(Examenes!#REF!,"AAAAAG7rtRs=")</f>
        <v>#REF!</v>
      </c>
      <c r="AC26" t="b">
        <f>AND(Examenes!C7,"AAAAAG7rtRw=")</f>
        <v>1</v>
      </c>
      <c r="AD26" t="e">
        <f>AND(Examenes!#REF!,"AAAAAG7rtR0=")</f>
        <v>#REF!</v>
      </c>
      <c r="AE26" t="e">
        <f>AND(Examenes!#REF!,"AAAAAG7rtR4=")</f>
        <v>#REF!</v>
      </c>
      <c r="AF26" t="b">
        <f>AND(Examenes!D7,"AAAAAG7rtR8=")</f>
        <v>1</v>
      </c>
      <c r="AG26" t="e">
        <f>AND(Examenes!#REF!,"AAAAAG7rtSA=")</f>
        <v>#REF!</v>
      </c>
      <c r="AH26" t="b">
        <f>AND(Examenes!E7,"AAAAAG7rtSE=")</f>
        <v>1</v>
      </c>
      <c r="AI26">
        <f>IF(Examenes!8:8,"AAAAAG7rtSI=",0)</f>
        <v>0</v>
      </c>
      <c r="AJ26" t="e">
        <f>AND(Examenes!A8,"AAAAAG7rtSM=")</f>
        <v>#VALUE!</v>
      </c>
      <c r="AK26" t="e">
        <f>AND(Examenes!#REF!,"AAAAAG7rtSQ=")</f>
        <v>#REF!</v>
      </c>
      <c r="AL26" t="b">
        <f>AND(Examenes!B8,"AAAAAG7rtSU=")</f>
        <v>1</v>
      </c>
      <c r="AM26" t="e">
        <f>AND(Examenes!#REF!,"AAAAAG7rtSY=")</f>
        <v>#REF!</v>
      </c>
      <c r="AN26" t="e">
        <f>AND(Examenes!#REF!,"AAAAAG7rtSc=")</f>
        <v>#REF!</v>
      </c>
      <c r="AO26" t="b">
        <f>AND(Examenes!C8,"AAAAAG7rtSg=")</f>
        <v>1</v>
      </c>
      <c r="AP26" t="e">
        <f>AND(Examenes!#REF!,"AAAAAG7rtSk=")</f>
        <v>#REF!</v>
      </c>
      <c r="AQ26" t="e">
        <f>AND(Examenes!#REF!,"AAAAAG7rtSo=")</f>
        <v>#REF!</v>
      </c>
      <c r="AR26" t="b">
        <f>AND(Examenes!D8,"AAAAAG7rtSs=")</f>
        <v>0</v>
      </c>
      <c r="AS26" t="e">
        <f>AND(Examenes!#REF!,"AAAAAG7rtSw=")</f>
        <v>#REF!</v>
      </c>
      <c r="AT26" t="b">
        <f>AND(Examenes!E8,"AAAAAG7rtS0=")</f>
        <v>1</v>
      </c>
      <c r="AU26">
        <f>IF(Examenes!9:9,"AAAAAG7rtS4=",0)</f>
        <v>0</v>
      </c>
      <c r="AV26" t="e">
        <f>AND(Examenes!A9,"AAAAAG7rtS8=")</f>
        <v>#VALUE!</v>
      </c>
      <c r="AW26" t="e">
        <f>AND(Examenes!#REF!,"AAAAAG7rtTA=")</f>
        <v>#REF!</v>
      </c>
      <c r="AX26" t="b">
        <f>AND(Examenes!B9,"AAAAAG7rtTE=")</f>
        <v>1</v>
      </c>
      <c r="AY26" t="e">
        <f>AND(Examenes!#REF!,"AAAAAG7rtTI=")</f>
        <v>#REF!</v>
      </c>
      <c r="AZ26" t="e">
        <f>AND(Examenes!#REF!,"AAAAAG7rtTM=")</f>
        <v>#REF!</v>
      </c>
      <c r="BA26" t="b">
        <f>AND(Examenes!C9,"AAAAAG7rtTQ=")</f>
        <v>1</v>
      </c>
      <c r="BB26" t="e">
        <f>AND(Examenes!#REF!,"AAAAAG7rtTU=")</f>
        <v>#REF!</v>
      </c>
      <c r="BC26" t="e">
        <f>AND(Examenes!#REF!,"AAAAAG7rtTY=")</f>
        <v>#REF!</v>
      </c>
      <c r="BD26" t="b">
        <f>AND(Examenes!D9,"AAAAAG7rtTc=")</f>
        <v>1</v>
      </c>
      <c r="BE26" t="e">
        <f>AND(Examenes!#REF!,"AAAAAG7rtTg=")</f>
        <v>#REF!</v>
      </c>
      <c r="BF26" t="b">
        <f>AND(Examenes!E9,"AAAAAG7rtTk=")</f>
        <v>1</v>
      </c>
      <c r="BG26">
        <f>IF(Examenes!10:10,"AAAAAG7rtTo=",0)</f>
        <v>0</v>
      </c>
      <c r="BH26" t="e">
        <f>AND(Examenes!A10,"AAAAAG7rtTs=")</f>
        <v>#VALUE!</v>
      </c>
      <c r="BI26" t="e">
        <f>AND(Examenes!#REF!,"AAAAAG7rtTw=")</f>
        <v>#REF!</v>
      </c>
      <c r="BJ26" t="b">
        <f>AND(Examenes!B10,"AAAAAG7rtT0=")</f>
        <v>1</v>
      </c>
      <c r="BK26" t="e">
        <f>AND(Examenes!#REF!,"AAAAAG7rtT4=")</f>
        <v>#REF!</v>
      </c>
      <c r="BL26" t="e">
        <f>AND(Examenes!#REF!,"AAAAAG7rtT8=")</f>
        <v>#REF!</v>
      </c>
      <c r="BM26" t="b">
        <f>AND(Examenes!C10,"AAAAAG7rtUA=")</f>
        <v>1</v>
      </c>
      <c r="BN26" t="e">
        <f>AND(Examenes!#REF!,"AAAAAG7rtUE=")</f>
        <v>#REF!</v>
      </c>
      <c r="BO26" t="e">
        <f>AND(Examenes!#REF!,"AAAAAG7rtUI=")</f>
        <v>#REF!</v>
      </c>
      <c r="BP26" t="b">
        <f>AND(Examenes!D10,"AAAAAG7rtUM=")</f>
        <v>1</v>
      </c>
      <c r="BQ26" t="e">
        <f>AND(Examenes!#REF!,"AAAAAG7rtUQ=")</f>
        <v>#REF!</v>
      </c>
      <c r="BR26" t="b">
        <f>AND(Examenes!E10,"AAAAAG7rtUU=")</f>
        <v>1</v>
      </c>
      <c r="BS26">
        <f>IF(Examenes!11:11,"AAAAAG7rtUY=",0)</f>
        <v>0</v>
      </c>
      <c r="BT26" t="e">
        <f>AND(Examenes!A11,"AAAAAG7rtUc=")</f>
        <v>#VALUE!</v>
      </c>
      <c r="BU26" t="e">
        <f>AND(Examenes!#REF!,"AAAAAG7rtUg=")</f>
        <v>#REF!</v>
      </c>
      <c r="BV26" t="b">
        <f>AND(Examenes!B11,"AAAAAG7rtUk=")</f>
        <v>1</v>
      </c>
      <c r="BW26" t="e">
        <f>AND(Examenes!#REF!,"AAAAAG7rtUo=")</f>
        <v>#REF!</v>
      </c>
      <c r="BX26" t="e">
        <f>AND(Examenes!#REF!,"AAAAAG7rtUs=")</f>
        <v>#REF!</v>
      </c>
      <c r="BY26" t="b">
        <f>AND(Examenes!C11,"AAAAAG7rtUw=")</f>
        <v>1</v>
      </c>
      <c r="BZ26" t="e">
        <f>AND(Examenes!#REF!,"AAAAAG7rtU0=")</f>
        <v>#REF!</v>
      </c>
      <c r="CA26" t="e">
        <f>AND(Examenes!#REF!,"AAAAAG7rtU4=")</f>
        <v>#REF!</v>
      </c>
      <c r="CB26" t="b">
        <f>AND(Examenes!D11,"AAAAAG7rtU8=")</f>
        <v>1</v>
      </c>
      <c r="CC26" t="e">
        <f>AND(Examenes!#REF!,"AAAAAG7rtVA=")</f>
        <v>#REF!</v>
      </c>
      <c r="CD26" t="b">
        <f>AND(Examenes!E11,"AAAAAG7rtVE=")</f>
        <v>1</v>
      </c>
      <c r="CE26">
        <f>IF(Examenes!12:12,"AAAAAG7rtVI=",0)</f>
        <v>0</v>
      </c>
      <c r="CF26" t="e">
        <f>AND(Examenes!A12,"AAAAAG7rtVM=")</f>
        <v>#VALUE!</v>
      </c>
      <c r="CG26" t="e">
        <f>AND(Examenes!#REF!,"AAAAAG7rtVQ=")</f>
        <v>#REF!</v>
      </c>
      <c r="CH26" t="b">
        <f>AND(Examenes!B12,"AAAAAG7rtVU=")</f>
        <v>1</v>
      </c>
      <c r="CI26" t="e">
        <f>AND(Examenes!#REF!,"AAAAAG7rtVY=")</f>
        <v>#REF!</v>
      </c>
      <c r="CJ26" t="e">
        <f>AND(Examenes!#REF!,"AAAAAG7rtVc=")</f>
        <v>#REF!</v>
      </c>
      <c r="CK26" t="b">
        <f>AND(Examenes!C12,"AAAAAG7rtVg=")</f>
        <v>1</v>
      </c>
      <c r="CL26" t="e">
        <f>AND(Examenes!#REF!,"AAAAAG7rtVk=")</f>
        <v>#REF!</v>
      </c>
      <c r="CM26" t="e">
        <f>AND(Examenes!#REF!,"AAAAAG7rtVo=")</f>
        <v>#REF!</v>
      </c>
      <c r="CN26" t="b">
        <f>AND(Examenes!D12,"AAAAAG7rtVs=")</f>
        <v>1</v>
      </c>
      <c r="CO26" t="e">
        <f>AND(Examenes!#REF!,"AAAAAG7rtVw=")</f>
        <v>#REF!</v>
      </c>
      <c r="CP26" t="b">
        <f>AND(Examenes!E12,"AAAAAG7rtV0=")</f>
        <v>1</v>
      </c>
      <c r="CQ26">
        <f>IF(Examenes!13:13,"AAAAAG7rtV4=",0)</f>
        <v>0</v>
      </c>
      <c r="CR26" t="e">
        <f>AND(Examenes!A13,"AAAAAG7rtV8=")</f>
        <v>#VALUE!</v>
      </c>
      <c r="CS26" t="e">
        <f>AND(Examenes!#REF!,"AAAAAG7rtWA=")</f>
        <v>#REF!</v>
      </c>
      <c r="CT26" t="b">
        <f>AND(Examenes!B13,"AAAAAG7rtWE=")</f>
        <v>1</v>
      </c>
      <c r="CU26" t="e">
        <f>AND(Examenes!#REF!,"AAAAAG7rtWI=")</f>
        <v>#REF!</v>
      </c>
      <c r="CV26" t="e">
        <f>AND(Examenes!#REF!,"AAAAAG7rtWM=")</f>
        <v>#REF!</v>
      </c>
      <c r="CW26" t="b">
        <f>AND(Examenes!C13,"AAAAAG7rtWQ=")</f>
        <v>1</v>
      </c>
      <c r="CX26" t="e">
        <f>AND(Examenes!#REF!,"AAAAAG7rtWU=")</f>
        <v>#REF!</v>
      </c>
      <c r="CY26" t="e">
        <f>AND(Examenes!#REF!,"AAAAAG7rtWY=")</f>
        <v>#REF!</v>
      </c>
      <c r="CZ26" t="b">
        <f>AND(Examenes!D13,"AAAAAG7rtWc=")</f>
        <v>1</v>
      </c>
      <c r="DA26" t="e">
        <f>AND(Examenes!#REF!,"AAAAAG7rtWg=")</f>
        <v>#REF!</v>
      </c>
      <c r="DB26" t="b">
        <f>AND(Examenes!E13,"AAAAAG7rtWk=")</f>
        <v>1</v>
      </c>
      <c r="DC26">
        <f>IF(Examenes!14:14,"AAAAAG7rtWo=",0)</f>
        <v>0</v>
      </c>
      <c r="DD26" t="e">
        <f>AND(Examenes!A14,"AAAAAG7rtWs=")</f>
        <v>#VALUE!</v>
      </c>
      <c r="DE26" t="e">
        <f>AND(Examenes!#REF!,"AAAAAG7rtWw=")</f>
        <v>#REF!</v>
      </c>
      <c r="DF26" t="b">
        <f>AND(Examenes!B14,"AAAAAG7rtW0=")</f>
        <v>1</v>
      </c>
      <c r="DG26" t="e">
        <f>AND(Examenes!#REF!,"AAAAAG7rtW4=")</f>
        <v>#REF!</v>
      </c>
      <c r="DH26" t="e">
        <f>AND(Examenes!#REF!,"AAAAAG7rtW8=")</f>
        <v>#REF!</v>
      </c>
      <c r="DI26" t="b">
        <f>AND(Examenes!C14,"AAAAAG7rtXA=")</f>
        <v>1</v>
      </c>
      <c r="DJ26" t="e">
        <f>AND(Examenes!#REF!,"AAAAAG7rtXE=")</f>
        <v>#REF!</v>
      </c>
      <c r="DK26" t="e">
        <f>AND(Examenes!#REF!,"AAAAAG7rtXI=")</f>
        <v>#REF!</v>
      </c>
      <c r="DL26" t="b">
        <f>AND(Examenes!D14,"AAAAAG7rtXM=")</f>
        <v>1</v>
      </c>
      <c r="DM26" t="e">
        <f>AND(Examenes!#REF!,"AAAAAG7rtXQ=")</f>
        <v>#REF!</v>
      </c>
      <c r="DN26" t="b">
        <f>AND(Examenes!E14,"AAAAAG7rtXU=")</f>
        <v>1</v>
      </c>
      <c r="DO26">
        <f>IF(Examenes!15:15,"AAAAAG7rtXY=",0)</f>
        <v>0</v>
      </c>
      <c r="DP26" t="e">
        <f>AND(Examenes!A15,"AAAAAG7rtXc=")</f>
        <v>#VALUE!</v>
      </c>
      <c r="DQ26" t="e">
        <f>AND(Examenes!#REF!,"AAAAAG7rtXg=")</f>
        <v>#REF!</v>
      </c>
      <c r="DR26" t="b">
        <f>AND(Examenes!B15,"AAAAAG7rtXk=")</f>
        <v>1</v>
      </c>
      <c r="DS26" t="e">
        <f>AND(Examenes!#REF!,"AAAAAG7rtXo=")</f>
        <v>#REF!</v>
      </c>
      <c r="DT26" t="e">
        <f>AND(Examenes!#REF!,"AAAAAG7rtXs=")</f>
        <v>#REF!</v>
      </c>
      <c r="DU26" t="b">
        <f>AND(Examenes!C15,"AAAAAG7rtXw=")</f>
        <v>1</v>
      </c>
      <c r="DV26" t="e">
        <f>AND(Examenes!#REF!,"AAAAAG7rtX0=")</f>
        <v>#REF!</v>
      </c>
      <c r="DW26" t="e">
        <f>AND(Examenes!#REF!,"AAAAAG7rtX4=")</f>
        <v>#REF!</v>
      </c>
      <c r="DX26" t="b">
        <f>AND(Examenes!D15,"AAAAAG7rtX8=")</f>
        <v>1</v>
      </c>
      <c r="DY26" t="e">
        <f>AND(Examenes!#REF!,"AAAAAG7rtYA=")</f>
        <v>#REF!</v>
      </c>
      <c r="DZ26" t="b">
        <f>AND(Examenes!E15,"AAAAAG7rtYE=")</f>
        <v>1</v>
      </c>
      <c r="EA26">
        <f>IF(Examenes!16:16,"AAAAAG7rtYI=",0)</f>
        <v>0</v>
      </c>
      <c r="EB26" t="e">
        <f>AND(Examenes!A16,"AAAAAG7rtYM=")</f>
        <v>#VALUE!</v>
      </c>
      <c r="EC26" t="e">
        <f>AND(Examenes!#REF!,"AAAAAG7rtYQ=")</f>
        <v>#REF!</v>
      </c>
      <c r="ED26" t="b">
        <f>AND(Examenes!B16,"AAAAAG7rtYU=")</f>
        <v>1</v>
      </c>
      <c r="EE26" t="e">
        <f>AND(Examenes!#REF!,"AAAAAG7rtYY=")</f>
        <v>#REF!</v>
      </c>
      <c r="EF26" t="e">
        <f>AND(Examenes!#REF!,"AAAAAG7rtYc=")</f>
        <v>#REF!</v>
      </c>
      <c r="EG26" t="b">
        <f>AND(Examenes!C16,"AAAAAG7rtYg=")</f>
        <v>1</v>
      </c>
      <c r="EH26" t="e">
        <f>AND(Examenes!#REF!,"AAAAAG7rtYk=")</f>
        <v>#REF!</v>
      </c>
      <c r="EI26" t="e">
        <f>AND(Examenes!#REF!,"AAAAAG7rtYo=")</f>
        <v>#REF!</v>
      </c>
      <c r="EJ26" t="b">
        <f>AND(Examenes!D16,"AAAAAG7rtYs=")</f>
        <v>1</v>
      </c>
      <c r="EK26" t="e">
        <f>AND(Examenes!#REF!,"AAAAAG7rtYw=")</f>
        <v>#REF!</v>
      </c>
      <c r="EL26" t="b">
        <f>AND(Examenes!E16,"AAAAAG7rtY0=")</f>
        <v>1</v>
      </c>
      <c r="EM26">
        <f>IF(Examenes!17:17,"AAAAAG7rtY4=",0)</f>
        <v>0</v>
      </c>
      <c r="EN26" t="e">
        <f>AND(Examenes!A17,"AAAAAG7rtY8=")</f>
        <v>#VALUE!</v>
      </c>
      <c r="EO26" t="e">
        <f>AND(Examenes!#REF!,"AAAAAG7rtZA=")</f>
        <v>#REF!</v>
      </c>
      <c r="EP26" t="b">
        <f>AND(Examenes!B17,"AAAAAG7rtZE=")</f>
        <v>1</v>
      </c>
      <c r="EQ26" t="e">
        <f>AND(Examenes!#REF!,"AAAAAG7rtZI=")</f>
        <v>#REF!</v>
      </c>
      <c r="ER26" t="e">
        <f>AND(Examenes!#REF!,"AAAAAG7rtZM=")</f>
        <v>#REF!</v>
      </c>
      <c r="ES26" t="b">
        <f>AND(Examenes!C17,"AAAAAG7rtZQ=")</f>
        <v>1</v>
      </c>
      <c r="ET26" t="e">
        <f>AND(Examenes!#REF!,"AAAAAG7rtZU=")</f>
        <v>#REF!</v>
      </c>
      <c r="EU26" t="e">
        <f>AND(Examenes!#REF!,"AAAAAG7rtZY=")</f>
        <v>#REF!</v>
      </c>
      <c r="EV26" t="b">
        <f>AND(Examenes!D17,"AAAAAG7rtZc=")</f>
        <v>1</v>
      </c>
      <c r="EW26" t="e">
        <f>AND(Examenes!#REF!,"AAAAAG7rtZg=")</f>
        <v>#REF!</v>
      </c>
      <c r="EX26" t="b">
        <f>AND(Examenes!E17,"AAAAAG7rtZk=")</f>
        <v>1</v>
      </c>
      <c r="EY26">
        <f>IF(Examenes!18:18,"AAAAAG7rtZo=",0)</f>
        <v>0</v>
      </c>
      <c r="EZ26" t="e">
        <f>AND(Examenes!A18,"AAAAAG7rtZs=")</f>
        <v>#VALUE!</v>
      </c>
      <c r="FA26" t="e">
        <f>AND(Examenes!#REF!,"AAAAAG7rtZw=")</f>
        <v>#REF!</v>
      </c>
      <c r="FB26" t="b">
        <f>AND(Examenes!B18,"AAAAAG7rtZ0=")</f>
        <v>1</v>
      </c>
      <c r="FC26" t="e">
        <f>AND(Examenes!#REF!,"AAAAAG7rtZ4=")</f>
        <v>#REF!</v>
      </c>
      <c r="FD26" t="e">
        <f>AND(Examenes!#REF!,"AAAAAG7rtZ8=")</f>
        <v>#REF!</v>
      </c>
      <c r="FE26" t="b">
        <f>AND(Examenes!C18,"AAAAAG7rtaA=")</f>
        <v>1</v>
      </c>
      <c r="FF26" t="e">
        <f>AND(Examenes!#REF!,"AAAAAG7rtaE=")</f>
        <v>#REF!</v>
      </c>
      <c r="FG26" t="e">
        <f>AND(Examenes!#REF!,"AAAAAG7rtaI=")</f>
        <v>#REF!</v>
      </c>
      <c r="FH26" t="b">
        <f>AND(Examenes!D18,"AAAAAG7rtaM=")</f>
        <v>1</v>
      </c>
      <c r="FI26" t="e">
        <f>AND(Examenes!#REF!,"AAAAAG7rtaQ=")</f>
        <v>#REF!</v>
      </c>
      <c r="FJ26" t="b">
        <f>AND(Examenes!E18,"AAAAAG7rtaU=")</f>
        <v>1</v>
      </c>
      <c r="FK26">
        <f>IF(Examenes!31:31,"AAAAAG7rtaY=",0)</f>
        <v>0</v>
      </c>
      <c r="FL26" t="e">
        <f>AND(Examenes!A31,"AAAAAG7rtac=")</f>
        <v>#VALUE!</v>
      </c>
      <c r="FM26" t="e">
        <f>AND(Examenes!#REF!,"AAAAAG7rtag=")</f>
        <v>#REF!</v>
      </c>
      <c r="FN26" t="b">
        <f>AND(Examenes!B31,"AAAAAG7rtak=")</f>
        <v>1</v>
      </c>
      <c r="FO26" t="e">
        <f>AND(Examenes!#REF!,"AAAAAG7rtao=")</f>
        <v>#REF!</v>
      </c>
      <c r="FP26" t="e">
        <f>AND(Examenes!#REF!,"AAAAAG7rtas=")</f>
        <v>#REF!</v>
      </c>
      <c r="FQ26" t="b">
        <f>AND(Examenes!C31,"AAAAAG7rtaw=")</f>
        <v>1</v>
      </c>
      <c r="FR26" t="e">
        <f>AND(Examenes!#REF!,"AAAAAG7rta0=")</f>
        <v>#REF!</v>
      </c>
      <c r="FS26" t="e">
        <f>AND(Examenes!#REF!,"AAAAAG7rta4=")</f>
        <v>#REF!</v>
      </c>
      <c r="FT26" t="b">
        <f>AND(Examenes!D31,"AAAAAG7rta8=")</f>
        <v>1</v>
      </c>
      <c r="FU26" t="e">
        <f>AND(Examenes!#REF!,"AAAAAG7rtbA=")</f>
        <v>#REF!</v>
      </c>
      <c r="FV26" t="b">
        <f>AND(Examenes!E31,"AAAAAG7rtbE=")</f>
        <v>1</v>
      </c>
      <c r="FW26">
        <f>IF(Examenes!32:32,"AAAAAG7rtbI=",0)</f>
        <v>0</v>
      </c>
      <c r="FX26" t="e">
        <f>AND(Examenes!A32,"AAAAAG7rtbM=")</f>
        <v>#VALUE!</v>
      </c>
      <c r="FY26" t="e">
        <f>AND(Examenes!#REF!,"AAAAAG7rtbQ=")</f>
        <v>#REF!</v>
      </c>
      <c r="FZ26" t="e">
        <f>AND(Examenes!B32,"AAAAAG7rtbU=")</f>
        <v>#VALUE!</v>
      </c>
      <c r="GA26" t="e">
        <f>AND(Examenes!#REF!,"AAAAAG7rtbY=")</f>
        <v>#REF!</v>
      </c>
      <c r="GB26" t="e">
        <f>AND(Examenes!#REF!,"AAAAAG7rtbc=")</f>
        <v>#REF!</v>
      </c>
      <c r="GC26" t="e">
        <f>AND(Examenes!C32,"AAAAAG7rtbg=")</f>
        <v>#VALUE!</v>
      </c>
      <c r="GD26" t="e">
        <f>AND(Examenes!#REF!,"AAAAAG7rtbk=")</f>
        <v>#REF!</v>
      </c>
      <c r="GE26" t="e">
        <f>AND(Examenes!#REF!,"AAAAAG7rtbo=")</f>
        <v>#REF!</v>
      </c>
      <c r="GF26" t="e">
        <f>AND(Examenes!D32,"AAAAAG7rtbs=")</f>
        <v>#VALUE!</v>
      </c>
      <c r="GG26" t="e">
        <f>AND(Examenes!#REF!,"AAAAAG7rtbw=")</f>
        <v>#REF!</v>
      </c>
      <c r="GH26">
        <f>IF(Examenes!33:33,"AAAAAG7rtb0=",0)</f>
        <v>0</v>
      </c>
      <c r="GI26" t="e">
        <f>AND(Examenes!A33,"AAAAAG7rtb4=")</f>
        <v>#VALUE!</v>
      </c>
      <c r="GJ26" t="e">
        <f>AND(Examenes!#REF!,"AAAAAG7rtb8=")</f>
        <v>#REF!</v>
      </c>
      <c r="GK26" t="e">
        <f>AND(Examenes!B33,"AAAAAG7rtcA=")</f>
        <v>#VALUE!</v>
      </c>
      <c r="GL26" t="e">
        <f>AND(Examenes!C33,"AAAAAG7rtcE=")</f>
        <v>#VALUE!</v>
      </c>
      <c r="GM26" t="e">
        <f>AND(Examenes!D33,"AAAAAG7rtcI=")</f>
        <v>#VALUE!</v>
      </c>
      <c r="GN26" t="e">
        <f>AND(Examenes!E33,"AAAAAG7rtcM=")</f>
        <v>#VALUE!</v>
      </c>
      <c r="GO26" t="e">
        <f>AND(Examenes!F33,"AAAAAG7rtcQ=")</f>
        <v>#VALUE!</v>
      </c>
      <c r="GP26" t="e">
        <f>AND(Examenes!G33,"AAAAAG7rtcU=")</f>
        <v>#VALUE!</v>
      </c>
      <c r="GQ26" t="e">
        <f>AND(Examenes!H33,"AAAAAG7rtcY=")</f>
        <v>#VALUE!</v>
      </c>
      <c r="GR26" t="e">
        <f>AND(Examenes!I33,"AAAAAG7rtcc=")</f>
        <v>#VALUE!</v>
      </c>
      <c r="GS26">
        <f>IF(Examenes!34:34,"AAAAAG7rtcg=",0)</f>
        <v>0</v>
      </c>
      <c r="GT26" t="e">
        <f>AND(Examenes!A34,"AAAAAG7rtck=")</f>
        <v>#VALUE!</v>
      </c>
      <c r="GU26" t="e">
        <f>AND(Examenes!#REF!,"AAAAAG7rtco=")</f>
        <v>#REF!</v>
      </c>
      <c r="GV26" t="e">
        <f>AND(Examenes!B34,"AAAAAG7rtcs=")</f>
        <v>#VALUE!</v>
      </c>
      <c r="GW26" t="b">
        <f>AND(Examenes!C34,"AAAAAG7rtcw=")</f>
        <v>1</v>
      </c>
      <c r="GX26" t="b">
        <f>AND(Examenes!D34,"AAAAAG7rtc0=")</f>
        <v>0</v>
      </c>
      <c r="GY26" t="b">
        <f>AND(Examenes!E34,"AAAAAG7rtc4=")</f>
        <v>0</v>
      </c>
      <c r="GZ26" t="b">
        <f>AND(Examenes!F34,"AAAAAG7rtc8=")</f>
        <v>1</v>
      </c>
      <c r="HA26" t="b">
        <f>AND(Examenes!G34,"AAAAAG7rtdA=")</f>
        <v>1</v>
      </c>
      <c r="HB26" t="b">
        <f>AND(Examenes!H34,"AAAAAG7rtdE=")</f>
        <v>1</v>
      </c>
      <c r="HC26" t="b">
        <f>AND(Examenes!I34,"AAAAAG7rtdI=")</f>
        <v>1</v>
      </c>
      <c r="HD26">
        <f>IF(Examenes!35:35,"AAAAAG7rtdM=",0)</f>
        <v>0</v>
      </c>
      <c r="HE26" t="e">
        <f>AND(Examenes!A35,"AAAAAG7rtdQ=")</f>
        <v>#VALUE!</v>
      </c>
      <c r="HF26" t="e">
        <f>AND(Examenes!#REF!,"AAAAAG7rtdU=")</f>
        <v>#REF!</v>
      </c>
      <c r="HG26" t="e">
        <f>AND(Examenes!B35,"AAAAAG7rtdY=")</f>
        <v>#VALUE!</v>
      </c>
      <c r="HH26" t="b">
        <f>AND(Examenes!C35,"AAAAAG7rtdc=")</f>
        <v>1</v>
      </c>
      <c r="HI26" t="b">
        <f>AND(Examenes!D35,"AAAAAG7rtdg=")</f>
        <v>0</v>
      </c>
      <c r="HJ26" t="b">
        <f>AND(Examenes!E35,"AAAAAG7rtdk=")</f>
        <v>0</v>
      </c>
      <c r="HK26" t="b">
        <f>AND(Examenes!F35,"AAAAAG7rtdo=")</f>
        <v>1</v>
      </c>
      <c r="HL26" t="b">
        <f>AND(Examenes!G35,"AAAAAG7rtds=")</f>
        <v>1</v>
      </c>
      <c r="HM26" t="b">
        <f>AND(Examenes!H35,"AAAAAG7rtdw=")</f>
        <v>1</v>
      </c>
      <c r="HN26" t="b">
        <f>AND(Examenes!I35,"AAAAAG7rtd0=")</f>
        <v>1</v>
      </c>
      <c r="HO26">
        <f>IF(Examenes!36:36,"AAAAAG7rtd4=",0)</f>
        <v>0</v>
      </c>
      <c r="HP26" t="e">
        <f>AND(Examenes!A36,"AAAAAG7rtd8=")</f>
        <v>#VALUE!</v>
      </c>
      <c r="HQ26" t="e">
        <f>AND(Examenes!#REF!,"AAAAAG7rteA=")</f>
        <v>#REF!</v>
      </c>
      <c r="HR26" t="e">
        <f>AND(Examenes!B36,"AAAAAG7rteE=")</f>
        <v>#VALUE!</v>
      </c>
      <c r="HS26" t="b">
        <f>AND(Examenes!C36,"AAAAAG7rteI=")</f>
        <v>1</v>
      </c>
      <c r="HT26" t="b">
        <f>AND(Examenes!D36,"AAAAAG7rteM=")</f>
        <v>0</v>
      </c>
      <c r="HU26" t="b">
        <f>AND(Examenes!E36,"AAAAAG7rteQ=")</f>
        <v>0</v>
      </c>
      <c r="HV26" t="b">
        <f>AND(Examenes!F36,"AAAAAG7rteU=")</f>
        <v>0</v>
      </c>
      <c r="HW26" t="b">
        <f>AND(Examenes!G36,"AAAAAG7rteY=")</f>
        <v>1</v>
      </c>
      <c r="HX26" t="b">
        <f>AND(Examenes!H36,"AAAAAG7rtec=")</f>
        <v>1</v>
      </c>
      <c r="HY26" t="b">
        <f>AND(Examenes!I36,"AAAAAG7rteg=")</f>
        <v>1</v>
      </c>
      <c r="HZ26">
        <f>IF(Examenes!37:37,"AAAAAG7rtek=",0)</f>
        <v>0</v>
      </c>
      <c r="IA26" t="e">
        <f>AND(Examenes!A37,"AAAAAG7rteo=")</f>
        <v>#VALUE!</v>
      </c>
      <c r="IB26" t="e">
        <f>AND(Examenes!#REF!,"AAAAAG7rtes=")</f>
        <v>#REF!</v>
      </c>
      <c r="IC26" t="e">
        <f>AND(Examenes!B37,"AAAAAG7rtew=")</f>
        <v>#VALUE!</v>
      </c>
      <c r="ID26" t="e">
        <f>AND(Examenes!#REF!,"AAAAAG7rte0=")</f>
        <v>#REF!</v>
      </c>
      <c r="IE26" t="e">
        <f>AND(Examenes!#REF!,"AAAAAG7rte4=")</f>
        <v>#REF!</v>
      </c>
      <c r="IF26" t="e">
        <f>AND(Examenes!C37,"AAAAAG7rte8=")</f>
        <v>#VALUE!</v>
      </c>
      <c r="IG26" t="e">
        <f>AND(Examenes!#REF!,"AAAAAG7rtfA=")</f>
        <v>#REF!</v>
      </c>
      <c r="IH26" t="e">
        <f>AND(Examenes!#REF!,"AAAAAG7rtfE=")</f>
        <v>#REF!</v>
      </c>
      <c r="II26" t="e">
        <f>AND(Examenes!D37,"AAAAAG7rtfI=")</f>
        <v>#VALUE!</v>
      </c>
      <c r="IJ26" t="e">
        <f>AND(Examenes!#REF!,"AAAAAG7rtfM=")</f>
        <v>#REF!</v>
      </c>
      <c r="IK26" t="e">
        <f>IF(Examenes!#REF!,"AAAAAG7rtfQ=",0)</f>
        <v>#REF!</v>
      </c>
      <c r="IL26" t="e">
        <f>AND(Examenes!#REF!,"AAAAAG7rtfU=")</f>
        <v>#REF!</v>
      </c>
      <c r="IM26" t="e">
        <f>AND(Examenes!#REF!,"AAAAAG7rtfY=")</f>
        <v>#REF!</v>
      </c>
      <c r="IN26" t="e">
        <f>AND(Examenes!#REF!,"AAAAAG7rtfc=")</f>
        <v>#REF!</v>
      </c>
      <c r="IO26" t="e">
        <f>AND(Examenes!#REF!,"AAAAAG7rtfg=")</f>
        <v>#REF!</v>
      </c>
      <c r="IP26" t="e">
        <f>AND(Examenes!#REF!,"AAAAAG7rtfk=")</f>
        <v>#REF!</v>
      </c>
      <c r="IQ26" t="e">
        <f>AND(Examenes!#REF!,"AAAAAG7rtfo=")</f>
        <v>#REF!</v>
      </c>
      <c r="IR26" t="e">
        <f>AND(Examenes!#REF!,"AAAAAG7rtfs=")</f>
        <v>#REF!</v>
      </c>
      <c r="IS26" t="e">
        <f>AND(Examenes!#REF!,"AAAAAG7rtfw=")</f>
        <v>#REF!</v>
      </c>
      <c r="IT26" t="e">
        <f>AND(Examenes!#REF!,"AAAAAG7rtf0=")</f>
        <v>#REF!</v>
      </c>
      <c r="IU26" t="e">
        <f>AND(Examenes!#REF!,"AAAAAG7rtf4=")</f>
        <v>#REF!</v>
      </c>
      <c r="IV26" t="e">
        <f>IF(Examenes!#REF!,"AAAAAG7rtf8=",0)</f>
        <v>#REF!</v>
      </c>
    </row>
    <row r="27" spans="1:256" x14ac:dyDescent="0.35">
      <c r="A27" t="e">
        <f>AND(Examenes!#REF!,"AAAAAH33TgA=")</f>
        <v>#REF!</v>
      </c>
      <c r="B27" t="e">
        <f>AND(Examenes!#REF!,"AAAAAH33TgE=")</f>
        <v>#REF!</v>
      </c>
      <c r="C27" t="e">
        <f>AND(Examenes!#REF!,"AAAAAH33TgI=")</f>
        <v>#REF!</v>
      </c>
      <c r="D27" t="e">
        <f>AND(Examenes!#REF!,"AAAAAH33TgM=")</f>
        <v>#REF!</v>
      </c>
      <c r="E27" t="e">
        <f>AND(Examenes!#REF!,"AAAAAH33TgQ=")</f>
        <v>#REF!</v>
      </c>
      <c r="F27" t="e">
        <f>AND(Examenes!#REF!,"AAAAAH33TgU=")</f>
        <v>#REF!</v>
      </c>
      <c r="G27" t="e">
        <f>AND(Examenes!#REF!,"AAAAAH33TgY=")</f>
        <v>#REF!</v>
      </c>
      <c r="H27" t="e">
        <f>AND(Examenes!#REF!,"AAAAAH33Tgc=")</f>
        <v>#REF!</v>
      </c>
      <c r="I27" t="e">
        <f>AND(Examenes!#REF!,"AAAAAH33Tgg=")</f>
        <v>#REF!</v>
      </c>
      <c r="J27" t="e">
        <f>AND(Examenes!#REF!,"AAAAAH33Tgk=")</f>
        <v>#REF!</v>
      </c>
      <c r="K27" t="e">
        <f>IF(Examenes!#REF!,"AAAAAH33Tgo=",0)</f>
        <v>#REF!</v>
      </c>
      <c r="L27" t="e">
        <f>AND(Examenes!#REF!,"AAAAAH33Tgs=")</f>
        <v>#REF!</v>
      </c>
      <c r="M27" t="e">
        <f>AND(Examenes!#REF!,"AAAAAH33Tgw=")</f>
        <v>#REF!</v>
      </c>
      <c r="N27" t="e">
        <f>AND(Examenes!#REF!,"AAAAAH33Tg0=")</f>
        <v>#REF!</v>
      </c>
      <c r="O27" t="e">
        <f>AND(Examenes!#REF!,"AAAAAH33Tg4=")</f>
        <v>#REF!</v>
      </c>
      <c r="P27" t="e">
        <f>AND(Examenes!#REF!,"AAAAAH33Tg8=")</f>
        <v>#REF!</v>
      </c>
      <c r="Q27" t="e">
        <f>AND(Examenes!#REF!,"AAAAAH33ThA=")</f>
        <v>#REF!</v>
      </c>
      <c r="R27" t="e">
        <f>AND(Examenes!#REF!,"AAAAAH33ThE=")</f>
        <v>#REF!</v>
      </c>
      <c r="S27" t="e">
        <f>AND(Examenes!#REF!,"AAAAAH33ThI=")</f>
        <v>#REF!</v>
      </c>
      <c r="T27" t="e">
        <f>AND(Examenes!#REF!,"AAAAAH33ThM=")</f>
        <v>#REF!</v>
      </c>
      <c r="U27" t="e">
        <f>AND(Examenes!#REF!,"AAAAAH33ThQ=")</f>
        <v>#REF!</v>
      </c>
      <c r="V27" t="e">
        <f>IF(Examenes!#REF!,"AAAAAH33ThU=",0)</f>
        <v>#REF!</v>
      </c>
      <c r="W27" t="e">
        <f>AND(Examenes!#REF!,"AAAAAH33ThY=")</f>
        <v>#REF!</v>
      </c>
      <c r="X27" t="e">
        <f>AND(Examenes!#REF!,"AAAAAH33Thc=")</f>
        <v>#REF!</v>
      </c>
      <c r="Y27" t="e">
        <f>AND(Examenes!#REF!,"AAAAAH33Thg=")</f>
        <v>#REF!</v>
      </c>
      <c r="Z27" t="e">
        <f>AND(Examenes!#REF!,"AAAAAH33Thk=")</f>
        <v>#REF!</v>
      </c>
      <c r="AA27" t="e">
        <f>AND(Examenes!#REF!,"AAAAAH33Tho=")</f>
        <v>#REF!</v>
      </c>
      <c r="AB27" t="e">
        <f>AND(Examenes!#REF!,"AAAAAH33Ths=")</f>
        <v>#REF!</v>
      </c>
      <c r="AC27" t="e">
        <f>AND(Examenes!#REF!,"AAAAAH33Thw=")</f>
        <v>#REF!</v>
      </c>
      <c r="AD27" t="e">
        <f>AND(Examenes!#REF!,"AAAAAH33Th0=")</f>
        <v>#REF!</v>
      </c>
      <c r="AE27" t="e">
        <f>AND(Examenes!#REF!,"AAAAAH33Th4=")</f>
        <v>#REF!</v>
      </c>
      <c r="AF27" t="e">
        <f>AND(Examenes!#REF!,"AAAAAH33Th8=")</f>
        <v>#REF!</v>
      </c>
      <c r="AG27" t="e">
        <f>IF(Examenes!A:A,"AAAAAH33TiA=",0)</f>
        <v>#VALUE!</v>
      </c>
      <c r="AH27" t="e">
        <f>IF(_xlfn.SINGLE(Examenes!#REF!),"AAAAAH33TiE=",0)</f>
        <v>#REF!</v>
      </c>
      <c r="AI27" t="str">
        <f>IF(Examenes!B:B,"AAAAAH33TiI=",0)</f>
        <v>AAAAAH33TiI=</v>
      </c>
      <c r="AJ27" t="e">
        <f>IF(Examenes!#REF!,"AAAAAH33TiM=",0)</f>
        <v>#REF!</v>
      </c>
      <c r="AK27" t="e">
        <f>IF(Examenes!#REF!,"AAAAAH33TiQ=",0)</f>
        <v>#REF!</v>
      </c>
      <c r="AL27" t="str">
        <f>IF(Examenes!C:C,"AAAAAH33TiU=",0)</f>
        <v>AAAAAH33TiU=</v>
      </c>
      <c r="AM27" t="e">
        <f>IF(Examenes!#REF!,"AAAAAH33TiY=",0)</f>
        <v>#REF!</v>
      </c>
      <c r="AN27" t="e">
        <f>IF(Examenes!#REF!,"AAAAAH33Tic=",0)</f>
        <v>#REF!</v>
      </c>
      <c r="AO27" t="str">
        <f>IF(Examenes!D:D,"AAAAAH33Tig=",0)</f>
        <v>AAAAAH33Tig=</v>
      </c>
      <c r="AP27" t="e">
        <f>IF(Examenes!#REF!,"AAAAAH33Tik=",0)</f>
        <v>#REF!</v>
      </c>
      <c r="AQ27" t="str">
        <f>IF(Examenes!E:E,"AAAAAH33Tio=",0)</f>
        <v>AAAAAH33Tio=</v>
      </c>
      <c r="AR27" t="e">
        <f>IF(#REF!,"AAAAAH33Tis=",0)</f>
        <v>#REF!</v>
      </c>
      <c r="AS27" t="e">
        <f>AND(#REF!,"AAAAAH33Tiw=")</f>
        <v>#REF!</v>
      </c>
      <c r="AT27" t="e">
        <f>AND(#REF!,"AAAAAH33Ti0=")</f>
        <v>#REF!</v>
      </c>
      <c r="AU27" t="e">
        <f>AND(#REF!,"AAAAAH33Ti4=")</f>
        <v>#REF!</v>
      </c>
      <c r="AV27" t="e">
        <f>AND(#REF!,"AAAAAH33Ti8=")</f>
        <v>#REF!</v>
      </c>
      <c r="AW27" t="e">
        <f>AND(#REF!,"AAAAAH33TjA=")</f>
        <v>#REF!</v>
      </c>
      <c r="AX27" t="e">
        <f>AND(#REF!,"AAAAAH33TjE=")</f>
        <v>#REF!</v>
      </c>
      <c r="AY27" t="e">
        <f>AND(#REF!,"AAAAAH33TjI=")</f>
        <v>#REF!</v>
      </c>
      <c r="AZ27" t="e">
        <f>AND(#REF!,"AAAAAH33TjM=")</f>
        <v>#REF!</v>
      </c>
      <c r="BA27" t="e">
        <f>AND(#REF!,"AAAAAH33TjQ=")</f>
        <v>#REF!</v>
      </c>
      <c r="BB27" t="e">
        <f>AND(#REF!,"AAAAAH33TjU=")</f>
        <v>#REF!</v>
      </c>
      <c r="BC27" t="e">
        <f>AND(#REF!,"AAAAAH33TjY=")</f>
        <v>#REF!</v>
      </c>
      <c r="BD27" t="e">
        <f>AND(#REF!,"AAAAAH33Tjc=")</f>
        <v>#REF!</v>
      </c>
      <c r="BE27" t="e">
        <f>AND(#REF!,"AAAAAH33Tjg=")</f>
        <v>#REF!</v>
      </c>
      <c r="BF27" t="e">
        <f>AND(#REF!,"AAAAAH33Tjk=")</f>
        <v>#REF!</v>
      </c>
      <c r="BG27" t="e">
        <f>AND(#REF!,"AAAAAH33Tjo=")</f>
        <v>#REF!</v>
      </c>
      <c r="BH27" t="e">
        <f>AND(#REF!,"AAAAAH33Tjs=")</f>
        <v>#REF!</v>
      </c>
      <c r="BI27" t="e">
        <f>AND(#REF!,"AAAAAH33Tjw=")</f>
        <v>#REF!</v>
      </c>
      <c r="BJ27" t="e">
        <f>AND(#REF!,"AAAAAH33Tj0=")</f>
        <v>#REF!</v>
      </c>
      <c r="BK27" t="e">
        <f>AND(#REF!,"AAAAAH33Tj4=")</f>
        <v>#REF!</v>
      </c>
      <c r="BL27" t="e">
        <f>AND(#REF!,"AAAAAH33Tj8=")</f>
        <v>#REF!</v>
      </c>
      <c r="BM27" t="e">
        <f>AND(#REF!,"AAAAAH33TkA=")</f>
        <v>#REF!</v>
      </c>
      <c r="BN27" t="e">
        <f>AND(#REF!,"AAAAAH33TkE=")</f>
        <v>#REF!</v>
      </c>
      <c r="BO27" t="e">
        <f>AND(#REF!,"AAAAAH33TkI=")</f>
        <v>#REF!</v>
      </c>
      <c r="BP27" t="e">
        <f>AND(#REF!,"AAAAAH33TkM=")</f>
        <v>#REF!</v>
      </c>
      <c r="BQ27" t="e">
        <f>AND(#REF!,"AAAAAH33TkQ=")</f>
        <v>#REF!</v>
      </c>
      <c r="BR27" t="e">
        <f>AND(#REF!,"AAAAAH33TkU=")</f>
        <v>#REF!</v>
      </c>
      <c r="BS27" t="e">
        <f>AND(#REF!,"AAAAAH33TkY=")</f>
        <v>#REF!</v>
      </c>
      <c r="BT27" t="e">
        <f>AND(#REF!,"AAAAAH33Tkc=")</f>
        <v>#REF!</v>
      </c>
      <c r="BU27" t="e">
        <f>AND(#REF!,"AAAAAH33Tkg=")</f>
        <v>#REF!</v>
      </c>
      <c r="BV27" t="e">
        <f>AND(#REF!,"AAAAAH33Tkk=")</f>
        <v>#REF!</v>
      </c>
      <c r="BW27" t="e">
        <f>AND(#REF!,"AAAAAH33Tko=")</f>
        <v>#REF!</v>
      </c>
      <c r="BX27" t="e">
        <f>AND(#REF!,"AAAAAH33Tks=")</f>
        <v>#REF!</v>
      </c>
      <c r="BY27" t="e">
        <f>AND(#REF!,"AAAAAH33Tkw=")</f>
        <v>#REF!</v>
      </c>
      <c r="BZ27" t="e">
        <f>AND(#REF!,"AAAAAH33Tk0=")</f>
        <v>#REF!</v>
      </c>
      <c r="CA27" t="e">
        <f>AND(#REF!,"AAAAAH33Tk4=")</f>
        <v>#REF!</v>
      </c>
      <c r="CB27" t="e">
        <f>AND(#REF!,"AAAAAH33Tk8=")</f>
        <v>#REF!</v>
      </c>
      <c r="CC27" t="e">
        <f>AND(#REF!,"AAAAAH33TlA=")</f>
        <v>#REF!</v>
      </c>
      <c r="CD27" t="e">
        <f>AND(#REF!,"AAAAAH33TlE=")</f>
        <v>#REF!</v>
      </c>
      <c r="CE27" t="e">
        <f>AND(#REF!,"AAAAAH33TlI=")</f>
        <v>#REF!</v>
      </c>
      <c r="CF27" t="e">
        <f>IF(#REF!,"AAAAAH33TlM=",0)</f>
        <v>#REF!</v>
      </c>
      <c r="CG27" t="e">
        <f>AND(#REF!,"AAAAAH33TlQ=")</f>
        <v>#REF!</v>
      </c>
      <c r="CH27" t="e">
        <f>AND(#REF!,"AAAAAH33TlU=")</f>
        <v>#REF!</v>
      </c>
      <c r="CI27" t="e">
        <f>AND(#REF!,"AAAAAH33TlY=")</f>
        <v>#REF!</v>
      </c>
      <c r="CJ27" t="e">
        <f>AND(#REF!,"AAAAAH33Tlc=")</f>
        <v>#REF!</v>
      </c>
      <c r="CK27" t="e">
        <f>AND(#REF!,"AAAAAH33Tlg=")</f>
        <v>#REF!</v>
      </c>
      <c r="CL27" t="e">
        <f>AND(#REF!,"AAAAAH33Tlk=")</f>
        <v>#REF!</v>
      </c>
      <c r="CM27" t="e">
        <f>AND(#REF!,"AAAAAH33Tlo=")</f>
        <v>#REF!</v>
      </c>
      <c r="CN27" t="e">
        <f>AND(#REF!,"AAAAAH33Tls=")</f>
        <v>#REF!</v>
      </c>
      <c r="CO27" t="e">
        <f>AND(#REF!,"AAAAAH33Tlw=")</f>
        <v>#REF!</v>
      </c>
      <c r="CP27" t="e">
        <f>AND(#REF!,"AAAAAH33Tl0=")</f>
        <v>#REF!</v>
      </c>
      <c r="CQ27" t="e">
        <f>AND(#REF!,"AAAAAH33Tl4=")</f>
        <v>#REF!</v>
      </c>
      <c r="CR27" t="e">
        <f>AND(#REF!,"AAAAAH33Tl8=")</f>
        <v>#REF!</v>
      </c>
      <c r="CS27" t="e">
        <f>AND(#REF!,"AAAAAH33TmA=")</f>
        <v>#REF!</v>
      </c>
      <c r="CT27" t="e">
        <f>AND(#REF!,"AAAAAH33TmE=")</f>
        <v>#REF!</v>
      </c>
      <c r="CU27" t="e">
        <f>AND(#REF!,"AAAAAH33TmI=")</f>
        <v>#REF!</v>
      </c>
      <c r="CV27" t="e">
        <f>AND(#REF!,"AAAAAH33TmM=")</f>
        <v>#REF!</v>
      </c>
      <c r="CW27" t="e">
        <f>AND(#REF!,"AAAAAH33TmQ=")</f>
        <v>#REF!</v>
      </c>
      <c r="CX27" t="e">
        <f>AND(#REF!,"AAAAAH33TmU=")</f>
        <v>#REF!</v>
      </c>
      <c r="CY27" t="e">
        <f>AND(#REF!,"AAAAAH33TmY=")</f>
        <v>#REF!</v>
      </c>
      <c r="CZ27" t="e">
        <f>AND(#REF!,"AAAAAH33Tmc=")</f>
        <v>#REF!</v>
      </c>
      <c r="DA27" t="e">
        <f>AND(#REF!,"AAAAAH33Tmg=")</f>
        <v>#REF!</v>
      </c>
      <c r="DB27" t="e">
        <f>AND(#REF!,"AAAAAH33Tmk=")</f>
        <v>#REF!</v>
      </c>
      <c r="DC27" t="e">
        <f>AND(#REF!,"AAAAAH33Tmo=")</f>
        <v>#REF!</v>
      </c>
      <c r="DD27" t="e">
        <f>AND(#REF!,"AAAAAH33Tms=")</f>
        <v>#REF!</v>
      </c>
      <c r="DE27" t="e">
        <f>AND(#REF!,"AAAAAH33Tmw=")</f>
        <v>#REF!</v>
      </c>
      <c r="DF27" t="e">
        <f>AND(#REF!,"AAAAAH33Tm0=")</f>
        <v>#REF!</v>
      </c>
      <c r="DG27" t="e">
        <f>AND(#REF!,"AAAAAH33Tm4=")</f>
        <v>#REF!</v>
      </c>
      <c r="DH27" t="e">
        <f>AND(#REF!,"AAAAAH33Tm8=")</f>
        <v>#REF!</v>
      </c>
      <c r="DI27" t="e">
        <f>AND(#REF!,"AAAAAH33TnA=")</f>
        <v>#REF!</v>
      </c>
      <c r="DJ27" t="e">
        <f>AND(#REF!,"AAAAAH33TnE=")</f>
        <v>#REF!</v>
      </c>
      <c r="DK27" t="e">
        <f>AND(#REF!,"AAAAAH33TnI=")</f>
        <v>#REF!</v>
      </c>
      <c r="DL27" t="e">
        <f>AND(#REF!,"AAAAAH33TnM=")</f>
        <v>#REF!</v>
      </c>
      <c r="DM27" t="e">
        <f>AND(#REF!,"AAAAAH33TnQ=")</f>
        <v>#REF!</v>
      </c>
      <c r="DN27" t="e">
        <f>AND(#REF!,"AAAAAH33TnU=")</f>
        <v>#REF!</v>
      </c>
      <c r="DO27" t="e">
        <f>AND(#REF!,"AAAAAH33TnY=")</f>
        <v>#REF!</v>
      </c>
      <c r="DP27" t="e">
        <f>AND(#REF!,"AAAAAH33Tnc=")</f>
        <v>#REF!</v>
      </c>
      <c r="DQ27" t="e">
        <f>AND(#REF!,"AAAAAH33Tng=")</f>
        <v>#REF!</v>
      </c>
      <c r="DR27" t="e">
        <f>AND(#REF!,"AAAAAH33Tnk=")</f>
        <v>#REF!</v>
      </c>
      <c r="DS27" t="e">
        <f>AND(#REF!,"AAAAAH33Tno=")</f>
        <v>#REF!</v>
      </c>
      <c r="DT27" t="e">
        <f>IF(#REF!,"AAAAAH33Tns=",0)</f>
        <v>#REF!</v>
      </c>
      <c r="DU27" t="e">
        <f>AND(#REF!,"AAAAAH33Tnw=")</f>
        <v>#REF!</v>
      </c>
      <c r="DV27" t="e">
        <f>AND(#REF!,"AAAAAH33Tn0=")</f>
        <v>#REF!</v>
      </c>
      <c r="DW27" t="e">
        <f>AND(#REF!,"AAAAAH33Tn4=")</f>
        <v>#REF!</v>
      </c>
      <c r="DX27" t="e">
        <f>AND(#REF!,"AAAAAH33Tn8=")</f>
        <v>#REF!</v>
      </c>
      <c r="DY27" t="e">
        <f>AND(#REF!,"AAAAAH33ToA=")</f>
        <v>#REF!</v>
      </c>
      <c r="DZ27" t="e">
        <f>AND(#REF!,"AAAAAH33ToE=")</f>
        <v>#REF!</v>
      </c>
      <c r="EA27" t="e">
        <f>AND(#REF!,"AAAAAH33ToI=")</f>
        <v>#REF!</v>
      </c>
      <c r="EB27" t="e">
        <f>AND(#REF!,"AAAAAH33ToM=")</f>
        <v>#REF!</v>
      </c>
      <c r="EC27" t="e">
        <f>AND(#REF!,"AAAAAH33ToQ=")</f>
        <v>#REF!</v>
      </c>
      <c r="ED27" t="e">
        <f>AND(#REF!,"AAAAAH33ToU=")</f>
        <v>#REF!</v>
      </c>
      <c r="EE27" t="e">
        <f>AND(#REF!,"AAAAAH33ToY=")</f>
        <v>#REF!</v>
      </c>
      <c r="EF27" t="e">
        <f>AND(#REF!,"AAAAAH33Toc=")</f>
        <v>#REF!</v>
      </c>
      <c r="EG27" t="e">
        <f>AND(#REF!,"AAAAAH33Tog=")</f>
        <v>#REF!</v>
      </c>
      <c r="EH27" t="e">
        <f>AND(#REF!,"AAAAAH33Tok=")</f>
        <v>#REF!</v>
      </c>
      <c r="EI27" t="e">
        <f>AND(#REF!,"AAAAAH33Too=")</f>
        <v>#REF!</v>
      </c>
      <c r="EJ27" t="e">
        <f>AND(#REF!,"AAAAAH33Tos=")</f>
        <v>#REF!</v>
      </c>
      <c r="EK27" t="e">
        <f>AND(#REF!,"AAAAAH33Tow=")</f>
        <v>#REF!</v>
      </c>
      <c r="EL27" t="e">
        <f>AND(#REF!,"AAAAAH33To0=")</f>
        <v>#REF!</v>
      </c>
      <c r="EM27" t="e">
        <f>AND(#REF!,"AAAAAH33To4=")</f>
        <v>#REF!</v>
      </c>
      <c r="EN27" t="e">
        <f>AND(#REF!,"AAAAAH33To8=")</f>
        <v>#REF!</v>
      </c>
      <c r="EO27" t="e">
        <f>AND(#REF!,"AAAAAH33TpA=")</f>
        <v>#REF!</v>
      </c>
      <c r="EP27" t="e">
        <f>AND(#REF!,"AAAAAH33TpE=")</f>
        <v>#REF!</v>
      </c>
      <c r="EQ27" t="e">
        <f>AND(#REF!,"AAAAAH33TpI=")</f>
        <v>#REF!</v>
      </c>
      <c r="ER27" t="e">
        <f>AND(#REF!,"AAAAAH33TpM=")</f>
        <v>#REF!</v>
      </c>
      <c r="ES27" t="e">
        <f>AND(#REF!,"AAAAAH33TpQ=")</f>
        <v>#REF!</v>
      </c>
      <c r="ET27" t="e">
        <f>AND(#REF!,"AAAAAH33TpU=")</f>
        <v>#REF!</v>
      </c>
      <c r="EU27" t="e">
        <f>AND(#REF!,"AAAAAH33TpY=")</f>
        <v>#REF!</v>
      </c>
      <c r="EV27" t="e">
        <f>AND(#REF!,"AAAAAH33Tpc=")</f>
        <v>#REF!</v>
      </c>
      <c r="EW27" t="e">
        <f>AND(#REF!,"AAAAAH33Tpg=")</f>
        <v>#REF!</v>
      </c>
      <c r="EX27" t="e">
        <f>AND(#REF!,"AAAAAH33Tpk=")</f>
        <v>#REF!</v>
      </c>
      <c r="EY27" t="e">
        <f>AND(#REF!,"AAAAAH33Tpo=")</f>
        <v>#REF!</v>
      </c>
      <c r="EZ27" t="e">
        <f>AND(#REF!,"AAAAAH33Tps=")</f>
        <v>#REF!</v>
      </c>
      <c r="FA27" t="e">
        <f>AND(#REF!,"AAAAAH33Tpw=")</f>
        <v>#REF!</v>
      </c>
      <c r="FB27" t="e">
        <f>AND(#REF!,"AAAAAH33Tp0=")</f>
        <v>#REF!</v>
      </c>
      <c r="FC27" t="e">
        <f>AND(#REF!,"AAAAAH33Tp4=")</f>
        <v>#REF!</v>
      </c>
      <c r="FD27" t="e">
        <f>AND(#REF!,"AAAAAH33Tp8=")</f>
        <v>#REF!</v>
      </c>
      <c r="FE27" t="e">
        <f>AND(#REF!,"AAAAAH33TqA=")</f>
        <v>#REF!</v>
      </c>
      <c r="FF27" t="e">
        <f>AND(#REF!,"AAAAAH33TqE=")</f>
        <v>#REF!</v>
      </c>
      <c r="FG27" t="e">
        <f>AND(#REF!,"AAAAAH33TqI=")</f>
        <v>#REF!</v>
      </c>
      <c r="FH27" t="e">
        <f>IF(#REF!,"AAAAAH33TqM=",0)</f>
        <v>#REF!</v>
      </c>
      <c r="FI27" t="e">
        <f>AND(#REF!,"AAAAAH33TqQ=")</f>
        <v>#REF!</v>
      </c>
      <c r="FJ27" t="e">
        <f>AND(#REF!,"AAAAAH33TqU=")</f>
        <v>#REF!</v>
      </c>
      <c r="FK27" t="e">
        <f>AND(#REF!,"AAAAAH33TqY=")</f>
        <v>#REF!</v>
      </c>
      <c r="FL27" t="e">
        <f>AND(#REF!,"AAAAAH33Tqc=")</f>
        <v>#REF!</v>
      </c>
      <c r="FM27" t="e">
        <f>AND(#REF!,"AAAAAH33Tqg=")</f>
        <v>#REF!</v>
      </c>
      <c r="FN27" t="e">
        <f>AND(#REF!,"AAAAAH33Tqk=")</f>
        <v>#REF!</v>
      </c>
      <c r="FO27" t="e">
        <f>AND(#REF!,"AAAAAH33Tqo=")</f>
        <v>#REF!</v>
      </c>
      <c r="FP27" t="e">
        <f>AND(#REF!,"AAAAAH33Tqs=")</f>
        <v>#REF!</v>
      </c>
      <c r="FQ27" t="e">
        <f>AND(#REF!,"AAAAAH33Tqw=")</f>
        <v>#REF!</v>
      </c>
      <c r="FR27" t="e">
        <f>AND(#REF!,"AAAAAH33Tq0=")</f>
        <v>#REF!</v>
      </c>
      <c r="FS27" t="e">
        <f>AND(#REF!,"AAAAAH33Tq4=")</f>
        <v>#REF!</v>
      </c>
      <c r="FT27" t="e">
        <f>AND(#REF!,"AAAAAH33Tq8=")</f>
        <v>#REF!</v>
      </c>
      <c r="FU27" t="e">
        <f>AND(#REF!,"AAAAAH33TrA=")</f>
        <v>#REF!</v>
      </c>
      <c r="FV27" t="e">
        <f>AND(#REF!,"AAAAAH33TrE=")</f>
        <v>#REF!</v>
      </c>
      <c r="FW27" t="e">
        <f>AND(#REF!,"AAAAAH33TrI=")</f>
        <v>#REF!</v>
      </c>
      <c r="FX27" t="e">
        <f>AND(#REF!,"AAAAAH33TrM=")</f>
        <v>#REF!</v>
      </c>
      <c r="FY27" t="e">
        <f>AND(#REF!,"AAAAAH33TrQ=")</f>
        <v>#REF!</v>
      </c>
      <c r="FZ27" t="e">
        <f>AND(#REF!,"AAAAAH33TrU=")</f>
        <v>#REF!</v>
      </c>
      <c r="GA27" t="e">
        <f>AND(#REF!,"AAAAAH33TrY=")</f>
        <v>#REF!</v>
      </c>
      <c r="GB27" t="e">
        <f>AND(#REF!,"AAAAAH33Trc=")</f>
        <v>#REF!</v>
      </c>
      <c r="GC27" t="e">
        <f>AND(#REF!,"AAAAAH33Trg=")</f>
        <v>#REF!</v>
      </c>
      <c r="GD27" t="e">
        <f>AND(#REF!,"AAAAAH33Trk=")</f>
        <v>#REF!</v>
      </c>
      <c r="GE27" t="e">
        <f>AND(#REF!,"AAAAAH33Tro=")</f>
        <v>#REF!</v>
      </c>
      <c r="GF27" t="e">
        <f>AND(#REF!,"AAAAAH33Trs=")</f>
        <v>#REF!</v>
      </c>
      <c r="GG27" t="e">
        <f>AND(#REF!,"AAAAAH33Trw=")</f>
        <v>#REF!</v>
      </c>
      <c r="GH27" t="e">
        <f>AND(#REF!,"AAAAAH33Tr0=")</f>
        <v>#REF!</v>
      </c>
      <c r="GI27" t="e">
        <f>AND(#REF!,"AAAAAH33Tr4=")</f>
        <v>#REF!</v>
      </c>
      <c r="GJ27" t="e">
        <f>AND(#REF!,"AAAAAH33Tr8=")</f>
        <v>#REF!</v>
      </c>
      <c r="GK27" t="e">
        <f>AND(#REF!,"AAAAAH33TsA=")</f>
        <v>#REF!</v>
      </c>
      <c r="GL27" t="e">
        <f>AND(#REF!,"AAAAAH33TsE=")</f>
        <v>#REF!</v>
      </c>
      <c r="GM27" t="e">
        <f>AND(#REF!,"AAAAAH33TsI=")</f>
        <v>#REF!</v>
      </c>
      <c r="GN27" t="e">
        <f>AND(#REF!,"AAAAAH33TsM=")</f>
        <v>#REF!</v>
      </c>
      <c r="GO27" t="e">
        <f>AND(#REF!,"AAAAAH33TsQ=")</f>
        <v>#REF!</v>
      </c>
      <c r="GP27" t="e">
        <f>AND(#REF!,"AAAAAH33TsU=")</f>
        <v>#REF!</v>
      </c>
      <c r="GQ27" t="e">
        <f>AND(#REF!,"AAAAAH33TsY=")</f>
        <v>#REF!</v>
      </c>
      <c r="GR27" t="e">
        <f>AND(#REF!,"AAAAAH33Tsc=")</f>
        <v>#REF!</v>
      </c>
      <c r="GS27" t="e">
        <f>AND(#REF!,"AAAAAH33Tsg=")</f>
        <v>#REF!</v>
      </c>
      <c r="GT27" t="e">
        <f>AND(#REF!,"AAAAAH33Tsk=")</f>
        <v>#REF!</v>
      </c>
      <c r="GU27" t="e">
        <f>AND(#REF!,"AAAAAH33Tso=")</f>
        <v>#REF!</v>
      </c>
      <c r="GV27" t="e">
        <f>IF(#REF!,"AAAAAH33Tss=",0)</f>
        <v>#REF!</v>
      </c>
      <c r="GW27" t="e">
        <f>AND(#REF!,"AAAAAH33Tsw=")</f>
        <v>#REF!</v>
      </c>
      <c r="GX27" t="e">
        <f>AND(#REF!,"AAAAAH33Ts0=")</f>
        <v>#REF!</v>
      </c>
      <c r="GY27" t="e">
        <f>AND(#REF!,"AAAAAH33Ts4=")</f>
        <v>#REF!</v>
      </c>
      <c r="GZ27" t="e">
        <f>AND(#REF!,"AAAAAH33Ts8=")</f>
        <v>#REF!</v>
      </c>
      <c r="HA27" t="e">
        <f>AND(#REF!,"AAAAAH33TtA=")</f>
        <v>#REF!</v>
      </c>
      <c r="HB27" t="e">
        <f>AND(#REF!,"AAAAAH33TtE=")</f>
        <v>#REF!</v>
      </c>
      <c r="HC27" t="e">
        <f>AND(#REF!,"AAAAAH33TtI=")</f>
        <v>#REF!</v>
      </c>
      <c r="HD27" t="e">
        <f>AND(#REF!,"AAAAAH33TtM=")</f>
        <v>#REF!</v>
      </c>
      <c r="HE27" t="e">
        <f>AND(#REF!,"AAAAAH33TtQ=")</f>
        <v>#REF!</v>
      </c>
      <c r="HF27" t="e">
        <f>AND(#REF!,"AAAAAH33TtU=")</f>
        <v>#REF!</v>
      </c>
      <c r="HG27" t="e">
        <f>AND(#REF!,"AAAAAH33TtY=")</f>
        <v>#REF!</v>
      </c>
      <c r="HH27" t="e">
        <f>AND(#REF!,"AAAAAH33Ttc=")</f>
        <v>#REF!</v>
      </c>
      <c r="HI27" t="e">
        <f>AND(#REF!,"AAAAAH33Ttg=")</f>
        <v>#REF!</v>
      </c>
      <c r="HJ27" t="e">
        <f>AND(#REF!,"AAAAAH33Ttk=")</f>
        <v>#REF!</v>
      </c>
      <c r="HK27" t="e">
        <f>AND(#REF!,"AAAAAH33Tto=")</f>
        <v>#REF!</v>
      </c>
      <c r="HL27" t="e">
        <f>AND(#REF!,"AAAAAH33Tts=")</f>
        <v>#REF!</v>
      </c>
      <c r="HM27" t="e">
        <f>AND(#REF!,"AAAAAH33Ttw=")</f>
        <v>#REF!</v>
      </c>
      <c r="HN27" t="e">
        <f>AND(#REF!,"AAAAAH33Tt0=")</f>
        <v>#REF!</v>
      </c>
      <c r="HO27" t="e">
        <f>AND(#REF!,"AAAAAH33Tt4=")</f>
        <v>#REF!</v>
      </c>
      <c r="HP27" t="e">
        <f>AND(#REF!,"AAAAAH33Tt8=")</f>
        <v>#REF!</v>
      </c>
      <c r="HQ27" t="e">
        <f>AND(#REF!,"AAAAAH33TuA=")</f>
        <v>#REF!</v>
      </c>
      <c r="HR27" t="e">
        <f>AND(#REF!,"AAAAAH33TuE=")</f>
        <v>#REF!</v>
      </c>
      <c r="HS27" t="e">
        <f>AND(#REF!,"AAAAAH33TuI=")</f>
        <v>#REF!</v>
      </c>
      <c r="HT27" t="e">
        <f>AND(#REF!,"AAAAAH33TuM=")</f>
        <v>#REF!</v>
      </c>
      <c r="HU27" t="e">
        <f>AND(#REF!,"AAAAAH33TuQ=")</f>
        <v>#REF!</v>
      </c>
      <c r="HV27" t="e">
        <f>AND(#REF!,"AAAAAH33TuU=")</f>
        <v>#REF!</v>
      </c>
      <c r="HW27" t="e">
        <f>AND(#REF!,"AAAAAH33TuY=")</f>
        <v>#REF!</v>
      </c>
      <c r="HX27" t="e">
        <f>AND(#REF!,"AAAAAH33Tuc=")</f>
        <v>#REF!</v>
      </c>
      <c r="HY27" t="e">
        <f>AND(#REF!,"AAAAAH33Tug=")</f>
        <v>#REF!</v>
      </c>
      <c r="HZ27" t="e">
        <f>AND(#REF!,"AAAAAH33Tuk=")</f>
        <v>#REF!</v>
      </c>
      <c r="IA27" t="e">
        <f>AND(#REF!,"AAAAAH33Tuo=")</f>
        <v>#REF!</v>
      </c>
      <c r="IB27" t="e">
        <f>AND(#REF!,"AAAAAH33Tus=")</f>
        <v>#REF!</v>
      </c>
      <c r="IC27" t="e">
        <f>AND(#REF!,"AAAAAH33Tuw=")</f>
        <v>#REF!</v>
      </c>
      <c r="ID27" t="e">
        <f>AND(#REF!,"AAAAAH33Tu0=")</f>
        <v>#REF!</v>
      </c>
      <c r="IE27" t="e">
        <f>AND(#REF!,"AAAAAH33Tu4=")</f>
        <v>#REF!</v>
      </c>
      <c r="IF27" t="e">
        <f>AND(#REF!,"AAAAAH33Tu8=")</f>
        <v>#REF!</v>
      </c>
      <c r="IG27" t="e">
        <f>AND(#REF!,"AAAAAH33TvA=")</f>
        <v>#REF!</v>
      </c>
      <c r="IH27" t="e">
        <f>AND(#REF!,"AAAAAH33TvE=")</f>
        <v>#REF!</v>
      </c>
      <c r="II27" t="e">
        <f>AND(#REF!,"AAAAAH33TvI=")</f>
        <v>#REF!</v>
      </c>
      <c r="IJ27" t="e">
        <f>IF(#REF!,"AAAAAH33TvM=",0)</f>
        <v>#REF!</v>
      </c>
      <c r="IK27" t="e">
        <f>AND(#REF!,"AAAAAH33TvQ=")</f>
        <v>#REF!</v>
      </c>
      <c r="IL27" t="e">
        <f>AND(#REF!,"AAAAAH33TvU=")</f>
        <v>#REF!</v>
      </c>
      <c r="IM27" t="e">
        <f>AND(#REF!,"AAAAAH33TvY=")</f>
        <v>#REF!</v>
      </c>
      <c r="IN27" t="e">
        <f>AND(#REF!,"AAAAAH33Tvc=")</f>
        <v>#REF!</v>
      </c>
      <c r="IO27" t="e">
        <f>AND(#REF!,"AAAAAH33Tvg=")</f>
        <v>#REF!</v>
      </c>
      <c r="IP27" t="e">
        <f>AND(#REF!,"AAAAAH33Tvk=")</f>
        <v>#REF!</v>
      </c>
      <c r="IQ27" t="e">
        <f>AND(#REF!,"AAAAAH33Tvo=")</f>
        <v>#REF!</v>
      </c>
      <c r="IR27" t="e">
        <f>AND(#REF!,"AAAAAH33Tvs=")</f>
        <v>#REF!</v>
      </c>
      <c r="IS27" t="e">
        <f>AND(#REF!,"AAAAAH33Tvw=")</f>
        <v>#REF!</v>
      </c>
      <c r="IT27" t="e">
        <f>AND(#REF!,"AAAAAH33Tv0=")</f>
        <v>#REF!</v>
      </c>
      <c r="IU27" t="e">
        <f>AND(#REF!,"AAAAAH33Tv4=")</f>
        <v>#REF!</v>
      </c>
      <c r="IV27" t="e">
        <f>AND(#REF!,"AAAAAH33Tv8=")</f>
        <v>#REF!</v>
      </c>
    </row>
    <row r="28" spans="1:256" x14ac:dyDescent="0.35">
      <c r="A28" t="e">
        <f>AND(#REF!,"AAAAAGbx7wA=")</f>
        <v>#REF!</v>
      </c>
      <c r="B28" t="e">
        <f>AND(#REF!,"AAAAAGbx7wE=")</f>
        <v>#REF!</v>
      </c>
      <c r="C28" t="e">
        <f>AND(#REF!,"AAAAAGbx7wI=")</f>
        <v>#REF!</v>
      </c>
      <c r="D28" t="e">
        <f>AND(#REF!,"AAAAAGbx7wM=")</f>
        <v>#REF!</v>
      </c>
      <c r="E28" t="e">
        <f>AND(#REF!,"AAAAAGbx7wQ=")</f>
        <v>#REF!</v>
      </c>
      <c r="F28" t="e">
        <f>AND(#REF!,"AAAAAGbx7wU=")</f>
        <v>#REF!</v>
      </c>
      <c r="G28" t="e">
        <f>AND(#REF!,"AAAAAGbx7wY=")</f>
        <v>#REF!</v>
      </c>
      <c r="H28" t="e">
        <f>AND(#REF!,"AAAAAGbx7wc=")</f>
        <v>#REF!</v>
      </c>
      <c r="I28" t="e">
        <f>AND(#REF!,"AAAAAGbx7wg=")</f>
        <v>#REF!</v>
      </c>
      <c r="J28" t="e">
        <f>AND(#REF!,"AAAAAGbx7wk=")</f>
        <v>#REF!</v>
      </c>
      <c r="K28" t="e">
        <f>AND(#REF!,"AAAAAGbx7wo=")</f>
        <v>#REF!</v>
      </c>
      <c r="L28" t="e">
        <f>AND(#REF!,"AAAAAGbx7ws=")</f>
        <v>#REF!</v>
      </c>
      <c r="M28" t="e">
        <f>AND(#REF!,"AAAAAGbx7ww=")</f>
        <v>#REF!</v>
      </c>
      <c r="N28" t="e">
        <f>AND(#REF!,"AAAAAGbx7w0=")</f>
        <v>#REF!</v>
      </c>
      <c r="O28" t="e">
        <f>AND(#REF!,"AAAAAGbx7w4=")</f>
        <v>#REF!</v>
      </c>
      <c r="P28" t="e">
        <f>AND(#REF!,"AAAAAGbx7w8=")</f>
        <v>#REF!</v>
      </c>
      <c r="Q28" t="e">
        <f>AND(#REF!,"AAAAAGbx7xA=")</f>
        <v>#REF!</v>
      </c>
      <c r="R28" t="e">
        <f>AND(#REF!,"AAAAAGbx7xE=")</f>
        <v>#REF!</v>
      </c>
      <c r="S28" t="e">
        <f>AND(#REF!,"AAAAAGbx7xI=")</f>
        <v>#REF!</v>
      </c>
      <c r="T28" t="e">
        <f>AND(#REF!,"AAAAAGbx7xM=")</f>
        <v>#REF!</v>
      </c>
      <c r="U28" t="e">
        <f>AND(#REF!,"AAAAAGbx7xQ=")</f>
        <v>#REF!</v>
      </c>
      <c r="V28" t="e">
        <f>AND(#REF!,"AAAAAGbx7xU=")</f>
        <v>#REF!</v>
      </c>
      <c r="W28" t="e">
        <f>AND(#REF!,"AAAAAGbx7xY=")</f>
        <v>#REF!</v>
      </c>
      <c r="X28" t="e">
        <f>AND(#REF!,"AAAAAGbx7xc=")</f>
        <v>#REF!</v>
      </c>
      <c r="Y28" t="e">
        <f>AND(#REF!,"AAAAAGbx7xg=")</f>
        <v>#REF!</v>
      </c>
      <c r="Z28" t="e">
        <f>AND(#REF!,"AAAAAGbx7xk=")</f>
        <v>#REF!</v>
      </c>
      <c r="AA28" t="e">
        <f>AND(#REF!,"AAAAAGbx7xo=")</f>
        <v>#REF!</v>
      </c>
      <c r="AB28" t="e">
        <f>IF(#REF!,"AAAAAGbx7xs=",0)</f>
        <v>#REF!</v>
      </c>
      <c r="AC28" t="e">
        <f>AND(#REF!,"AAAAAGbx7xw=")</f>
        <v>#REF!</v>
      </c>
      <c r="AD28" t="e">
        <f>AND(#REF!,"AAAAAGbx7x0=")</f>
        <v>#REF!</v>
      </c>
      <c r="AE28" t="e">
        <f>AND(#REF!,"AAAAAGbx7x4=")</f>
        <v>#REF!</v>
      </c>
      <c r="AF28" t="e">
        <f>AND(#REF!,"AAAAAGbx7x8=")</f>
        <v>#REF!</v>
      </c>
      <c r="AG28" t="e">
        <f>AND(#REF!,"AAAAAGbx7yA=")</f>
        <v>#REF!</v>
      </c>
      <c r="AH28" t="e">
        <f>AND(#REF!,"AAAAAGbx7yE=")</f>
        <v>#REF!</v>
      </c>
      <c r="AI28" t="e">
        <f>AND(#REF!,"AAAAAGbx7yI=")</f>
        <v>#REF!</v>
      </c>
      <c r="AJ28" t="e">
        <f>AND(#REF!,"AAAAAGbx7yM=")</f>
        <v>#REF!</v>
      </c>
      <c r="AK28" t="e">
        <f>AND(#REF!,"AAAAAGbx7yQ=")</f>
        <v>#REF!</v>
      </c>
      <c r="AL28" t="e">
        <f>AND(#REF!,"AAAAAGbx7yU=")</f>
        <v>#REF!</v>
      </c>
      <c r="AM28" t="e">
        <f>AND(#REF!,"AAAAAGbx7yY=")</f>
        <v>#REF!</v>
      </c>
      <c r="AN28" t="e">
        <f>AND(#REF!,"AAAAAGbx7yc=")</f>
        <v>#REF!</v>
      </c>
      <c r="AO28" t="e">
        <f>AND(#REF!,"AAAAAGbx7yg=")</f>
        <v>#REF!</v>
      </c>
      <c r="AP28" t="e">
        <f>AND(#REF!,"AAAAAGbx7yk=")</f>
        <v>#REF!</v>
      </c>
      <c r="AQ28" t="e">
        <f>AND(#REF!,"AAAAAGbx7yo=")</f>
        <v>#REF!</v>
      </c>
      <c r="AR28" t="e">
        <f>AND(#REF!,"AAAAAGbx7ys=")</f>
        <v>#REF!</v>
      </c>
      <c r="AS28" t="e">
        <f>AND(#REF!,"AAAAAGbx7yw=")</f>
        <v>#REF!</v>
      </c>
      <c r="AT28" t="e">
        <f>AND(#REF!,"AAAAAGbx7y0=")</f>
        <v>#REF!</v>
      </c>
      <c r="AU28" t="e">
        <f>AND(#REF!,"AAAAAGbx7y4=")</f>
        <v>#REF!</v>
      </c>
      <c r="AV28" t="e">
        <f>AND(#REF!,"AAAAAGbx7y8=")</f>
        <v>#REF!</v>
      </c>
      <c r="AW28" t="e">
        <f>AND(#REF!,"AAAAAGbx7zA=")</f>
        <v>#REF!</v>
      </c>
      <c r="AX28" t="e">
        <f>AND(#REF!,"AAAAAGbx7zE=")</f>
        <v>#REF!</v>
      </c>
      <c r="AY28" t="e">
        <f>AND(#REF!,"AAAAAGbx7zI=")</f>
        <v>#REF!</v>
      </c>
      <c r="AZ28" t="e">
        <f>AND(#REF!,"AAAAAGbx7zM=")</f>
        <v>#REF!</v>
      </c>
      <c r="BA28" t="e">
        <f>AND(#REF!,"AAAAAGbx7zQ=")</f>
        <v>#REF!</v>
      </c>
      <c r="BB28" t="e">
        <f>AND(#REF!,"AAAAAGbx7zU=")</f>
        <v>#REF!</v>
      </c>
      <c r="BC28" t="e">
        <f>AND(#REF!,"AAAAAGbx7zY=")</f>
        <v>#REF!</v>
      </c>
      <c r="BD28" t="e">
        <f>AND(#REF!,"AAAAAGbx7zc=")</f>
        <v>#REF!</v>
      </c>
      <c r="BE28" t="e">
        <f>AND(#REF!,"AAAAAGbx7zg=")</f>
        <v>#REF!</v>
      </c>
      <c r="BF28" t="e">
        <f>AND(#REF!,"AAAAAGbx7zk=")</f>
        <v>#REF!</v>
      </c>
      <c r="BG28" t="e">
        <f>AND(#REF!,"AAAAAGbx7zo=")</f>
        <v>#REF!</v>
      </c>
      <c r="BH28" t="e">
        <f>AND(#REF!,"AAAAAGbx7zs=")</f>
        <v>#REF!</v>
      </c>
      <c r="BI28" t="e">
        <f>AND(#REF!,"AAAAAGbx7zw=")</f>
        <v>#REF!</v>
      </c>
      <c r="BJ28" t="e">
        <f>AND(#REF!,"AAAAAGbx7z0=")</f>
        <v>#REF!</v>
      </c>
      <c r="BK28" t="e">
        <f>AND(#REF!,"AAAAAGbx7z4=")</f>
        <v>#REF!</v>
      </c>
      <c r="BL28" t="e">
        <f>AND(#REF!,"AAAAAGbx7z8=")</f>
        <v>#REF!</v>
      </c>
      <c r="BM28" t="e">
        <f>AND(#REF!,"AAAAAGbx70A=")</f>
        <v>#REF!</v>
      </c>
      <c r="BN28" t="e">
        <f>AND(#REF!,"AAAAAGbx70E=")</f>
        <v>#REF!</v>
      </c>
      <c r="BO28" t="e">
        <f>AND(#REF!,"AAAAAGbx70I=")</f>
        <v>#REF!</v>
      </c>
      <c r="BP28" t="e">
        <f>IF(#REF!,"AAAAAGbx70M=",0)</f>
        <v>#REF!</v>
      </c>
      <c r="BQ28" t="e">
        <f>AND(#REF!,"AAAAAGbx70Q=")</f>
        <v>#REF!</v>
      </c>
      <c r="BR28" t="e">
        <f>AND(#REF!,"AAAAAGbx70U=")</f>
        <v>#REF!</v>
      </c>
      <c r="BS28" t="e">
        <f>AND(#REF!,"AAAAAGbx70Y=")</f>
        <v>#REF!</v>
      </c>
      <c r="BT28" t="e">
        <f>AND(#REF!,"AAAAAGbx70c=")</f>
        <v>#REF!</v>
      </c>
      <c r="BU28" t="e">
        <f>AND(#REF!,"AAAAAGbx70g=")</f>
        <v>#REF!</v>
      </c>
      <c r="BV28" t="e">
        <f>AND(#REF!,"AAAAAGbx70k=")</f>
        <v>#REF!</v>
      </c>
      <c r="BW28" t="e">
        <f>AND(#REF!,"AAAAAGbx70o=")</f>
        <v>#REF!</v>
      </c>
      <c r="BX28" t="e">
        <f>AND(#REF!,"AAAAAGbx70s=")</f>
        <v>#REF!</v>
      </c>
      <c r="BY28" t="e">
        <f>AND(#REF!,"AAAAAGbx70w=")</f>
        <v>#REF!</v>
      </c>
      <c r="BZ28" t="e">
        <f>AND(#REF!,"AAAAAGbx700=")</f>
        <v>#REF!</v>
      </c>
      <c r="CA28" t="e">
        <f>AND(#REF!,"AAAAAGbx704=")</f>
        <v>#REF!</v>
      </c>
      <c r="CB28" t="e">
        <f>AND(#REF!,"AAAAAGbx708=")</f>
        <v>#REF!</v>
      </c>
      <c r="CC28" t="e">
        <f>AND(#REF!,"AAAAAGbx71A=")</f>
        <v>#REF!</v>
      </c>
      <c r="CD28" t="e">
        <f>AND(#REF!,"AAAAAGbx71E=")</f>
        <v>#REF!</v>
      </c>
      <c r="CE28" t="e">
        <f>AND(#REF!,"AAAAAGbx71I=")</f>
        <v>#REF!</v>
      </c>
      <c r="CF28" t="e">
        <f>AND(#REF!,"AAAAAGbx71M=")</f>
        <v>#REF!</v>
      </c>
      <c r="CG28" t="e">
        <f>AND(#REF!,"AAAAAGbx71Q=")</f>
        <v>#REF!</v>
      </c>
      <c r="CH28" t="e">
        <f>AND(#REF!,"AAAAAGbx71U=")</f>
        <v>#REF!</v>
      </c>
      <c r="CI28" t="e">
        <f>AND(#REF!,"AAAAAGbx71Y=")</f>
        <v>#REF!</v>
      </c>
      <c r="CJ28" t="e">
        <f>AND(#REF!,"AAAAAGbx71c=")</f>
        <v>#REF!</v>
      </c>
      <c r="CK28" t="e">
        <f>AND(#REF!,"AAAAAGbx71g=")</f>
        <v>#REF!</v>
      </c>
      <c r="CL28" t="e">
        <f>AND(#REF!,"AAAAAGbx71k=")</f>
        <v>#REF!</v>
      </c>
      <c r="CM28" t="e">
        <f>AND(#REF!,"AAAAAGbx71o=")</f>
        <v>#REF!</v>
      </c>
      <c r="CN28" t="e">
        <f>AND(#REF!,"AAAAAGbx71s=")</f>
        <v>#REF!</v>
      </c>
      <c r="CO28" t="e">
        <f>AND(#REF!,"AAAAAGbx71w=")</f>
        <v>#REF!</v>
      </c>
      <c r="CP28" t="e">
        <f>AND(#REF!,"AAAAAGbx710=")</f>
        <v>#REF!</v>
      </c>
      <c r="CQ28" t="e">
        <f>AND(#REF!,"AAAAAGbx714=")</f>
        <v>#REF!</v>
      </c>
      <c r="CR28" t="e">
        <f>AND(#REF!,"AAAAAGbx718=")</f>
        <v>#REF!</v>
      </c>
      <c r="CS28" t="e">
        <f>AND(#REF!,"AAAAAGbx72A=")</f>
        <v>#REF!</v>
      </c>
      <c r="CT28" t="e">
        <f>AND(#REF!,"AAAAAGbx72E=")</f>
        <v>#REF!</v>
      </c>
      <c r="CU28" t="e">
        <f>AND(#REF!,"AAAAAGbx72I=")</f>
        <v>#REF!</v>
      </c>
      <c r="CV28" t="e">
        <f>AND(#REF!,"AAAAAGbx72M=")</f>
        <v>#REF!</v>
      </c>
      <c r="CW28" t="e">
        <f>AND(#REF!,"AAAAAGbx72Q=")</f>
        <v>#REF!</v>
      </c>
      <c r="CX28" t="e">
        <f>AND(#REF!,"AAAAAGbx72U=")</f>
        <v>#REF!</v>
      </c>
      <c r="CY28" t="e">
        <f>AND(#REF!,"AAAAAGbx72Y=")</f>
        <v>#REF!</v>
      </c>
      <c r="CZ28" t="e">
        <f>AND(#REF!,"AAAAAGbx72c=")</f>
        <v>#REF!</v>
      </c>
      <c r="DA28" t="e">
        <f>AND(#REF!,"AAAAAGbx72g=")</f>
        <v>#REF!</v>
      </c>
      <c r="DB28" t="e">
        <f>AND(#REF!,"AAAAAGbx72k=")</f>
        <v>#REF!</v>
      </c>
      <c r="DC28" t="e">
        <f>AND(#REF!,"AAAAAGbx72o=")</f>
        <v>#REF!</v>
      </c>
      <c r="DD28" t="e">
        <f>IF(#REF!,"AAAAAGbx72s=",0)</f>
        <v>#REF!</v>
      </c>
      <c r="DE28" t="e">
        <f>AND(#REF!,"AAAAAGbx72w=")</f>
        <v>#REF!</v>
      </c>
      <c r="DF28" t="e">
        <f>AND(#REF!,"AAAAAGbx720=")</f>
        <v>#REF!</v>
      </c>
      <c r="DG28" t="e">
        <f>AND(#REF!,"AAAAAGbx724=")</f>
        <v>#REF!</v>
      </c>
      <c r="DH28" t="e">
        <f>AND(#REF!,"AAAAAGbx728=")</f>
        <v>#REF!</v>
      </c>
      <c r="DI28" t="e">
        <f>AND(#REF!,"AAAAAGbx73A=")</f>
        <v>#REF!</v>
      </c>
      <c r="DJ28" t="e">
        <f>AND(#REF!,"AAAAAGbx73E=")</f>
        <v>#REF!</v>
      </c>
      <c r="DK28" t="e">
        <f>AND(#REF!,"AAAAAGbx73I=")</f>
        <v>#REF!</v>
      </c>
      <c r="DL28" t="e">
        <f>AND(#REF!,"AAAAAGbx73M=")</f>
        <v>#REF!</v>
      </c>
      <c r="DM28" t="e">
        <f>AND(#REF!,"AAAAAGbx73Q=")</f>
        <v>#REF!</v>
      </c>
      <c r="DN28" t="e">
        <f>AND(#REF!,"AAAAAGbx73U=")</f>
        <v>#REF!</v>
      </c>
      <c r="DO28" t="e">
        <f>AND(#REF!,"AAAAAGbx73Y=")</f>
        <v>#REF!</v>
      </c>
      <c r="DP28" t="e">
        <f>AND(#REF!,"AAAAAGbx73c=")</f>
        <v>#REF!</v>
      </c>
      <c r="DQ28" t="e">
        <f>AND(#REF!,"AAAAAGbx73g=")</f>
        <v>#REF!</v>
      </c>
      <c r="DR28" t="e">
        <f>AND(#REF!,"AAAAAGbx73k=")</f>
        <v>#REF!</v>
      </c>
      <c r="DS28" t="e">
        <f>AND(#REF!,"AAAAAGbx73o=")</f>
        <v>#REF!</v>
      </c>
      <c r="DT28" t="e">
        <f>AND(#REF!,"AAAAAGbx73s=")</f>
        <v>#REF!</v>
      </c>
      <c r="DU28" t="e">
        <f>AND(#REF!,"AAAAAGbx73w=")</f>
        <v>#REF!</v>
      </c>
      <c r="DV28" t="e">
        <f>AND(#REF!,"AAAAAGbx730=")</f>
        <v>#REF!</v>
      </c>
      <c r="DW28" t="e">
        <f>AND(#REF!,"AAAAAGbx734=")</f>
        <v>#REF!</v>
      </c>
      <c r="DX28" t="e">
        <f>AND(#REF!,"AAAAAGbx738=")</f>
        <v>#REF!</v>
      </c>
      <c r="DY28" t="e">
        <f>AND(#REF!,"AAAAAGbx74A=")</f>
        <v>#REF!</v>
      </c>
      <c r="DZ28" t="e">
        <f>AND(#REF!,"AAAAAGbx74E=")</f>
        <v>#REF!</v>
      </c>
      <c r="EA28" t="e">
        <f>AND(#REF!,"AAAAAGbx74I=")</f>
        <v>#REF!</v>
      </c>
      <c r="EB28" t="e">
        <f>AND(#REF!,"AAAAAGbx74M=")</f>
        <v>#REF!</v>
      </c>
      <c r="EC28" t="e">
        <f>AND(#REF!,"AAAAAGbx74Q=")</f>
        <v>#REF!</v>
      </c>
      <c r="ED28" t="e">
        <f>AND(#REF!,"AAAAAGbx74U=")</f>
        <v>#REF!</v>
      </c>
      <c r="EE28" t="e">
        <f>AND(#REF!,"AAAAAGbx74Y=")</f>
        <v>#REF!</v>
      </c>
      <c r="EF28" t="e">
        <f>AND(#REF!,"AAAAAGbx74c=")</f>
        <v>#REF!</v>
      </c>
      <c r="EG28" t="e">
        <f>AND(#REF!,"AAAAAGbx74g=")</f>
        <v>#REF!</v>
      </c>
      <c r="EH28" t="e">
        <f>AND(#REF!,"AAAAAGbx74k=")</f>
        <v>#REF!</v>
      </c>
      <c r="EI28" t="e">
        <f>AND(#REF!,"AAAAAGbx74o=")</f>
        <v>#REF!</v>
      </c>
      <c r="EJ28" t="e">
        <f>AND(#REF!,"AAAAAGbx74s=")</f>
        <v>#REF!</v>
      </c>
      <c r="EK28" t="e">
        <f>AND(#REF!,"AAAAAGbx74w=")</f>
        <v>#REF!</v>
      </c>
      <c r="EL28" t="e">
        <f>AND(#REF!,"AAAAAGbx740=")</f>
        <v>#REF!</v>
      </c>
      <c r="EM28" t="e">
        <f>AND(#REF!,"AAAAAGbx744=")</f>
        <v>#REF!</v>
      </c>
      <c r="EN28" t="e">
        <f>AND(#REF!,"AAAAAGbx748=")</f>
        <v>#REF!</v>
      </c>
      <c r="EO28" t="e">
        <f>AND(#REF!,"AAAAAGbx75A=")</f>
        <v>#REF!</v>
      </c>
      <c r="EP28" t="e">
        <f>AND(#REF!,"AAAAAGbx75E=")</f>
        <v>#REF!</v>
      </c>
      <c r="EQ28" t="e">
        <f>AND(#REF!,"AAAAAGbx75I=")</f>
        <v>#REF!</v>
      </c>
      <c r="ER28" t="e">
        <f>IF(#REF!,"AAAAAGbx75M=",0)</f>
        <v>#REF!</v>
      </c>
      <c r="ES28" t="e">
        <f>AND(#REF!,"AAAAAGbx75Q=")</f>
        <v>#REF!</v>
      </c>
      <c r="ET28" t="e">
        <f>AND(#REF!,"AAAAAGbx75U=")</f>
        <v>#REF!</v>
      </c>
      <c r="EU28" t="e">
        <f>AND(#REF!,"AAAAAGbx75Y=")</f>
        <v>#REF!</v>
      </c>
      <c r="EV28" t="e">
        <f>AND(#REF!,"AAAAAGbx75c=")</f>
        <v>#REF!</v>
      </c>
      <c r="EW28" t="e">
        <f>AND(#REF!,"AAAAAGbx75g=")</f>
        <v>#REF!</v>
      </c>
      <c r="EX28" t="e">
        <f>AND(#REF!,"AAAAAGbx75k=")</f>
        <v>#REF!</v>
      </c>
      <c r="EY28" t="e">
        <f>AND(#REF!,"AAAAAGbx75o=")</f>
        <v>#REF!</v>
      </c>
      <c r="EZ28" t="e">
        <f>AND(#REF!,"AAAAAGbx75s=")</f>
        <v>#REF!</v>
      </c>
      <c r="FA28" t="e">
        <f>AND(#REF!,"AAAAAGbx75w=")</f>
        <v>#REF!</v>
      </c>
      <c r="FB28" t="e">
        <f>AND(#REF!,"AAAAAGbx750=")</f>
        <v>#REF!</v>
      </c>
      <c r="FC28" t="e">
        <f>AND(#REF!,"AAAAAGbx754=")</f>
        <v>#REF!</v>
      </c>
      <c r="FD28" t="e">
        <f>AND(#REF!,"AAAAAGbx758=")</f>
        <v>#REF!</v>
      </c>
      <c r="FE28" t="e">
        <f>AND(#REF!,"AAAAAGbx76A=")</f>
        <v>#REF!</v>
      </c>
      <c r="FF28" t="e">
        <f>AND(#REF!,"AAAAAGbx76E=")</f>
        <v>#REF!</v>
      </c>
      <c r="FG28" t="e">
        <f>AND(#REF!,"AAAAAGbx76I=")</f>
        <v>#REF!</v>
      </c>
      <c r="FH28" t="e">
        <f>AND(#REF!,"AAAAAGbx76M=")</f>
        <v>#REF!</v>
      </c>
      <c r="FI28" t="e">
        <f>AND(#REF!,"AAAAAGbx76Q=")</f>
        <v>#REF!</v>
      </c>
      <c r="FJ28" t="e">
        <f>AND(#REF!,"AAAAAGbx76U=")</f>
        <v>#REF!</v>
      </c>
      <c r="FK28" t="e">
        <f>AND(#REF!,"AAAAAGbx76Y=")</f>
        <v>#REF!</v>
      </c>
      <c r="FL28" t="e">
        <f>AND(#REF!,"AAAAAGbx76c=")</f>
        <v>#REF!</v>
      </c>
      <c r="FM28" t="e">
        <f>AND(#REF!,"AAAAAGbx76g=")</f>
        <v>#REF!</v>
      </c>
      <c r="FN28" t="e">
        <f>AND(#REF!,"AAAAAGbx76k=")</f>
        <v>#REF!</v>
      </c>
      <c r="FO28" t="e">
        <f>AND(#REF!,"AAAAAGbx76o=")</f>
        <v>#REF!</v>
      </c>
      <c r="FP28" t="e">
        <f>AND(#REF!,"AAAAAGbx76s=")</f>
        <v>#REF!</v>
      </c>
      <c r="FQ28" t="e">
        <f>AND(#REF!,"AAAAAGbx76w=")</f>
        <v>#REF!</v>
      </c>
      <c r="FR28" t="e">
        <f>AND(#REF!,"AAAAAGbx760=")</f>
        <v>#REF!</v>
      </c>
      <c r="FS28" t="e">
        <f>AND(#REF!,"AAAAAGbx764=")</f>
        <v>#REF!</v>
      </c>
      <c r="FT28" t="e">
        <f>AND(#REF!,"AAAAAGbx768=")</f>
        <v>#REF!</v>
      </c>
      <c r="FU28" t="e">
        <f>AND(#REF!,"AAAAAGbx77A=")</f>
        <v>#REF!</v>
      </c>
      <c r="FV28" t="e">
        <f>AND(#REF!,"AAAAAGbx77E=")</f>
        <v>#REF!</v>
      </c>
      <c r="FW28" t="e">
        <f>AND(#REF!,"AAAAAGbx77I=")</f>
        <v>#REF!</v>
      </c>
      <c r="FX28" t="e">
        <f>AND(#REF!,"AAAAAGbx77M=")</f>
        <v>#REF!</v>
      </c>
      <c r="FY28" t="e">
        <f>AND(#REF!,"AAAAAGbx77Q=")</f>
        <v>#REF!</v>
      </c>
      <c r="FZ28" t="e">
        <f>AND(#REF!,"AAAAAGbx77U=")</f>
        <v>#REF!</v>
      </c>
      <c r="GA28" t="e">
        <f>AND(#REF!,"AAAAAGbx77Y=")</f>
        <v>#REF!</v>
      </c>
      <c r="GB28" t="e">
        <f>AND(#REF!,"AAAAAGbx77c=")</f>
        <v>#REF!</v>
      </c>
      <c r="GC28" t="e">
        <f>AND(#REF!,"AAAAAGbx77g=")</f>
        <v>#REF!</v>
      </c>
      <c r="GD28" t="e">
        <f>AND(#REF!,"AAAAAGbx77k=")</f>
        <v>#REF!</v>
      </c>
      <c r="GE28" t="e">
        <f>AND(#REF!,"AAAAAGbx77o=")</f>
        <v>#REF!</v>
      </c>
      <c r="GF28" t="e">
        <f>IF(#REF!,"AAAAAGbx77s=",0)</f>
        <v>#REF!</v>
      </c>
      <c r="GG28" t="e">
        <f>AND(#REF!,"AAAAAGbx77w=")</f>
        <v>#REF!</v>
      </c>
      <c r="GH28" t="e">
        <f>AND(#REF!,"AAAAAGbx770=")</f>
        <v>#REF!</v>
      </c>
      <c r="GI28" t="e">
        <f>AND(#REF!,"AAAAAGbx774=")</f>
        <v>#REF!</v>
      </c>
      <c r="GJ28" t="e">
        <f>AND(#REF!,"AAAAAGbx778=")</f>
        <v>#REF!</v>
      </c>
      <c r="GK28" t="e">
        <f>AND(#REF!,"AAAAAGbx78A=")</f>
        <v>#REF!</v>
      </c>
      <c r="GL28" t="e">
        <f>AND(#REF!,"AAAAAGbx78E=")</f>
        <v>#REF!</v>
      </c>
      <c r="GM28" t="e">
        <f>AND(#REF!,"AAAAAGbx78I=")</f>
        <v>#REF!</v>
      </c>
      <c r="GN28" t="e">
        <f>AND(#REF!,"AAAAAGbx78M=")</f>
        <v>#REF!</v>
      </c>
      <c r="GO28" t="e">
        <f>AND(#REF!,"AAAAAGbx78Q=")</f>
        <v>#REF!</v>
      </c>
      <c r="GP28" t="e">
        <f>AND(#REF!,"AAAAAGbx78U=")</f>
        <v>#REF!</v>
      </c>
      <c r="GQ28" t="e">
        <f>AND(#REF!,"AAAAAGbx78Y=")</f>
        <v>#REF!</v>
      </c>
      <c r="GR28" t="e">
        <f>AND(#REF!,"AAAAAGbx78c=")</f>
        <v>#REF!</v>
      </c>
      <c r="GS28" t="e">
        <f>AND(#REF!,"AAAAAGbx78g=")</f>
        <v>#REF!</v>
      </c>
      <c r="GT28" t="e">
        <f>AND(#REF!,"AAAAAGbx78k=")</f>
        <v>#REF!</v>
      </c>
      <c r="GU28" t="e">
        <f>AND(#REF!,"AAAAAGbx78o=")</f>
        <v>#REF!</v>
      </c>
      <c r="GV28" t="e">
        <f>AND(#REF!,"AAAAAGbx78s=")</f>
        <v>#REF!</v>
      </c>
      <c r="GW28" t="e">
        <f>AND(#REF!,"AAAAAGbx78w=")</f>
        <v>#REF!</v>
      </c>
      <c r="GX28" t="e">
        <f>AND(#REF!,"AAAAAGbx780=")</f>
        <v>#REF!</v>
      </c>
      <c r="GY28" t="e">
        <f>AND(#REF!,"AAAAAGbx784=")</f>
        <v>#REF!</v>
      </c>
      <c r="GZ28" t="e">
        <f>AND(#REF!,"AAAAAGbx788=")</f>
        <v>#REF!</v>
      </c>
      <c r="HA28" t="e">
        <f>AND(#REF!,"AAAAAGbx79A=")</f>
        <v>#REF!</v>
      </c>
      <c r="HB28" t="e">
        <f>AND(#REF!,"AAAAAGbx79E=")</f>
        <v>#REF!</v>
      </c>
      <c r="HC28" t="e">
        <f>AND(#REF!,"AAAAAGbx79I=")</f>
        <v>#REF!</v>
      </c>
      <c r="HD28" t="e">
        <f>AND(#REF!,"AAAAAGbx79M=")</f>
        <v>#REF!</v>
      </c>
      <c r="HE28" t="e">
        <f>AND(#REF!,"AAAAAGbx79Q=")</f>
        <v>#REF!</v>
      </c>
      <c r="HF28" t="e">
        <f>AND(#REF!,"AAAAAGbx79U=")</f>
        <v>#REF!</v>
      </c>
      <c r="HG28" t="e">
        <f>AND(#REF!,"AAAAAGbx79Y=")</f>
        <v>#REF!</v>
      </c>
      <c r="HH28" t="e">
        <f>AND(#REF!,"AAAAAGbx79c=")</f>
        <v>#REF!</v>
      </c>
      <c r="HI28" t="e">
        <f>AND(#REF!,"AAAAAGbx79g=")</f>
        <v>#REF!</v>
      </c>
      <c r="HJ28" t="e">
        <f>AND(#REF!,"AAAAAGbx79k=")</f>
        <v>#REF!</v>
      </c>
      <c r="HK28" t="e">
        <f>AND(#REF!,"AAAAAGbx79o=")</f>
        <v>#REF!</v>
      </c>
      <c r="HL28" t="e">
        <f>AND(#REF!,"AAAAAGbx79s=")</f>
        <v>#REF!</v>
      </c>
      <c r="HM28" t="e">
        <f>AND(#REF!,"AAAAAGbx79w=")</f>
        <v>#REF!</v>
      </c>
      <c r="HN28" t="e">
        <f>AND(#REF!,"AAAAAGbx790=")</f>
        <v>#REF!</v>
      </c>
      <c r="HO28" t="e">
        <f>AND(#REF!,"AAAAAGbx794=")</f>
        <v>#REF!</v>
      </c>
      <c r="HP28" t="e">
        <f>AND(#REF!,"AAAAAGbx798=")</f>
        <v>#REF!</v>
      </c>
      <c r="HQ28" t="e">
        <f>AND(#REF!,"AAAAAGbx7+A=")</f>
        <v>#REF!</v>
      </c>
      <c r="HR28" t="e">
        <f>AND(#REF!,"AAAAAGbx7+E=")</f>
        <v>#REF!</v>
      </c>
      <c r="HS28" t="e">
        <f>AND(#REF!,"AAAAAGbx7+I=")</f>
        <v>#REF!</v>
      </c>
      <c r="HT28" t="e">
        <f>IF(#REF!,"AAAAAGbx7+M=",0)</f>
        <v>#REF!</v>
      </c>
      <c r="HU28" t="e">
        <f>AND(#REF!,"AAAAAGbx7+Q=")</f>
        <v>#REF!</v>
      </c>
      <c r="HV28" t="e">
        <f>AND(#REF!,"AAAAAGbx7+U=")</f>
        <v>#REF!</v>
      </c>
      <c r="HW28" t="e">
        <f>AND(#REF!,"AAAAAGbx7+Y=")</f>
        <v>#REF!</v>
      </c>
      <c r="HX28" t="e">
        <f>AND(#REF!,"AAAAAGbx7+c=")</f>
        <v>#REF!</v>
      </c>
      <c r="HY28" t="e">
        <f>AND(#REF!,"AAAAAGbx7+g=")</f>
        <v>#REF!</v>
      </c>
      <c r="HZ28" t="e">
        <f>AND(#REF!,"AAAAAGbx7+k=")</f>
        <v>#REF!</v>
      </c>
      <c r="IA28" t="e">
        <f>AND(#REF!,"AAAAAGbx7+o=")</f>
        <v>#REF!</v>
      </c>
      <c r="IB28" t="e">
        <f>AND(#REF!,"AAAAAGbx7+s=")</f>
        <v>#REF!</v>
      </c>
      <c r="IC28" t="e">
        <f>AND(#REF!,"AAAAAGbx7+w=")</f>
        <v>#REF!</v>
      </c>
      <c r="ID28" t="e">
        <f>AND(#REF!,"AAAAAGbx7+0=")</f>
        <v>#REF!</v>
      </c>
      <c r="IE28" t="e">
        <f>AND(#REF!,"AAAAAGbx7+4=")</f>
        <v>#REF!</v>
      </c>
      <c r="IF28" t="e">
        <f>AND(#REF!,"AAAAAGbx7+8=")</f>
        <v>#REF!</v>
      </c>
      <c r="IG28" t="e">
        <f>AND(#REF!,"AAAAAGbx7/A=")</f>
        <v>#REF!</v>
      </c>
      <c r="IH28" t="e">
        <f>AND(#REF!,"AAAAAGbx7/E=")</f>
        <v>#REF!</v>
      </c>
      <c r="II28" t="e">
        <f>AND(#REF!,"AAAAAGbx7/I=")</f>
        <v>#REF!</v>
      </c>
      <c r="IJ28" t="e">
        <f>AND(#REF!,"AAAAAGbx7/M=")</f>
        <v>#REF!</v>
      </c>
      <c r="IK28" t="e">
        <f>AND(#REF!,"AAAAAGbx7/Q=")</f>
        <v>#REF!</v>
      </c>
      <c r="IL28" t="e">
        <f>AND(#REF!,"AAAAAGbx7/U=")</f>
        <v>#REF!</v>
      </c>
      <c r="IM28" t="e">
        <f>AND(#REF!,"AAAAAGbx7/Y=")</f>
        <v>#REF!</v>
      </c>
      <c r="IN28" t="e">
        <f>AND(#REF!,"AAAAAGbx7/c=")</f>
        <v>#REF!</v>
      </c>
      <c r="IO28" t="e">
        <f>AND(#REF!,"AAAAAGbx7/g=")</f>
        <v>#REF!</v>
      </c>
      <c r="IP28" t="e">
        <f>AND(#REF!,"AAAAAGbx7/k=")</f>
        <v>#REF!</v>
      </c>
      <c r="IQ28" t="e">
        <f>AND(#REF!,"AAAAAGbx7/o=")</f>
        <v>#REF!</v>
      </c>
      <c r="IR28" t="e">
        <f>AND(#REF!,"AAAAAGbx7/s=")</f>
        <v>#REF!</v>
      </c>
      <c r="IS28" t="e">
        <f>AND(#REF!,"AAAAAGbx7/w=")</f>
        <v>#REF!</v>
      </c>
      <c r="IT28" t="e">
        <f>AND(#REF!,"AAAAAGbx7/0=")</f>
        <v>#REF!</v>
      </c>
      <c r="IU28" t="e">
        <f>AND(#REF!,"AAAAAGbx7/4=")</f>
        <v>#REF!</v>
      </c>
      <c r="IV28" t="e">
        <f>AND(#REF!,"AAAAAGbx7/8=")</f>
        <v>#REF!</v>
      </c>
    </row>
    <row r="29" spans="1:256" x14ac:dyDescent="0.35">
      <c r="A29" t="e">
        <f>AND(#REF!,"AAAAAG3cdwA=")</f>
        <v>#REF!</v>
      </c>
      <c r="B29" t="e">
        <f>AND(#REF!,"AAAAAG3cdwE=")</f>
        <v>#REF!</v>
      </c>
      <c r="C29" t="e">
        <f>AND(#REF!,"AAAAAG3cdwI=")</f>
        <v>#REF!</v>
      </c>
      <c r="D29" t="e">
        <f>AND(#REF!,"AAAAAG3cdwM=")</f>
        <v>#REF!</v>
      </c>
      <c r="E29" t="e">
        <f>AND(#REF!,"AAAAAG3cdwQ=")</f>
        <v>#REF!</v>
      </c>
      <c r="F29" t="e">
        <f>AND(#REF!,"AAAAAG3cdwU=")</f>
        <v>#REF!</v>
      </c>
      <c r="G29" t="e">
        <f>AND(#REF!,"AAAAAG3cdwY=")</f>
        <v>#REF!</v>
      </c>
      <c r="H29" t="e">
        <f>AND(#REF!,"AAAAAG3cdwc=")</f>
        <v>#REF!</v>
      </c>
      <c r="I29" t="e">
        <f>AND(#REF!,"AAAAAG3cdwg=")</f>
        <v>#REF!</v>
      </c>
      <c r="J29" t="e">
        <f>AND(#REF!,"AAAAAG3cdwk=")</f>
        <v>#REF!</v>
      </c>
      <c r="K29" t="e">
        <f>AND(#REF!,"AAAAAG3cdwo=")</f>
        <v>#REF!</v>
      </c>
      <c r="L29" t="e">
        <f>IF(#REF!,"AAAAAG3cdws=",0)</f>
        <v>#REF!</v>
      </c>
      <c r="M29" t="e">
        <f>AND(#REF!,"AAAAAG3cdww=")</f>
        <v>#REF!</v>
      </c>
      <c r="N29" t="e">
        <f>AND(#REF!,"AAAAAG3cdw0=")</f>
        <v>#REF!</v>
      </c>
      <c r="O29" t="e">
        <f>AND(#REF!,"AAAAAG3cdw4=")</f>
        <v>#REF!</v>
      </c>
      <c r="P29" t="e">
        <f>AND(#REF!,"AAAAAG3cdw8=")</f>
        <v>#REF!</v>
      </c>
      <c r="Q29" t="e">
        <f>AND(#REF!,"AAAAAG3cdxA=")</f>
        <v>#REF!</v>
      </c>
      <c r="R29" t="e">
        <f>AND(#REF!,"AAAAAG3cdxE=")</f>
        <v>#REF!</v>
      </c>
      <c r="S29" t="e">
        <f>AND(#REF!,"AAAAAG3cdxI=")</f>
        <v>#REF!</v>
      </c>
      <c r="T29" t="e">
        <f>AND(#REF!,"AAAAAG3cdxM=")</f>
        <v>#REF!</v>
      </c>
      <c r="U29" t="e">
        <f>AND(#REF!,"AAAAAG3cdxQ=")</f>
        <v>#REF!</v>
      </c>
      <c r="V29" t="e">
        <f>AND(#REF!,"AAAAAG3cdxU=")</f>
        <v>#REF!</v>
      </c>
      <c r="W29" t="e">
        <f>AND(#REF!,"AAAAAG3cdxY=")</f>
        <v>#REF!</v>
      </c>
      <c r="X29" t="e">
        <f>AND(#REF!,"AAAAAG3cdxc=")</f>
        <v>#REF!</v>
      </c>
      <c r="Y29" t="e">
        <f>AND(#REF!,"AAAAAG3cdxg=")</f>
        <v>#REF!</v>
      </c>
      <c r="Z29" t="e">
        <f>AND(#REF!,"AAAAAG3cdxk=")</f>
        <v>#REF!</v>
      </c>
      <c r="AA29" t="e">
        <f>AND(#REF!,"AAAAAG3cdxo=")</f>
        <v>#REF!</v>
      </c>
      <c r="AB29" t="e">
        <f>AND(#REF!,"AAAAAG3cdxs=")</f>
        <v>#REF!</v>
      </c>
      <c r="AC29" t="e">
        <f>AND(#REF!,"AAAAAG3cdxw=")</f>
        <v>#REF!</v>
      </c>
      <c r="AD29" t="e">
        <f>AND(#REF!,"AAAAAG3cdx0=")</f>
        <v>#REF!</v>
      </c>
      <c r="AE29" t="e">
        <f>AND(#REF!,"AAAAAG3cdx4=")</f>
        <v>#REF!</v>
      </c>
      <c r="AF29" t="e">
        <f>AND(#REF!,"AAAAAG3cdx8=")</f>
        <v>#REF!</v>
      </c>
      <c r="AG29" t="e">
        <f>AND(#REF!,"AAAAAG3cdyA=")</f>
        <v>#REF!</v>
      </c>
      <c r="AH29" t="e">
        <f>AND(#REF!,"AAAAAG3cdyE=")</f>
        <v>#REF!</v>
      </c>
      <c r="AI29" t="e">
        <f>AND(#REF!,"AAAAAG3cdyI=")</f>
        <v>#REF!</v>
      </c>
      <c r="AJ29" t="e">
        <f>AND(#REF!,"AAAAAG3cdyM=")</f>
        <v>#REF!</v>
      </c>
      <c r="AK29" t="e">
        <f>AND(#REF!,"AAAAAG3cdyQ=")</f>
        <v>#REF!</v>
      </c>
      <c r="AL29" t="e">
        <f>AND(#REF!,"AAAAAG3cdyU=")</f>
        <v>#REF!</v>
      </c>
      <c r="AM29" t="e">
        <f>AND(#REF!,"AAAAAG3cdyY=")</f>
        <v>#REF!</v>
      </c>
      <c r="AN29" t="e">
        <f>AND(#REF!,"AAAAAG3cdyc=")</f>
        <v>#REF!</v>
      </c>
      <c r="AO29" t="e">
        <f>AND(#REF!,"AAAAAG3cdyg=")</f>
        <v>#REF!</v>
      </c>
      <c r="AP29" t="e">
        <f>AND(#REF!,"AAAAAG3cdyk=")</f>
        <v>#REF!</v>
      </c>
      <c r="AQ29" t="e">
        <f>AND(#REF!,"AAAAAG3cdyo=")</f>
        <v>#REF!</v>
      </c>
      <c r="AR29" t="e">
        <f>AND(#REF!,"AAAAAG3cdys=")</f>
        <v>#REF!</v>
      </c>
      <c r="AS29" t="e">
        <f>AND(#REF!,"AAAAAG3cdyw=")</f>
        <v>#REF!</v>
      </c>
      <c r="AT29" t="e">
        <f>AND(#REF!,"AAAAAG3cdy0=")</f>
        <v>#REF!</v>
      </c>
      <c r="AU29" t="e">
        <f>AND(#REF!,"AAAAAG3cdy4=")</f>
        <v>#REF!</v>
      </c>
      <c r="AV29" t="e">
        <f>AND(#REF!,"AAAAAG3cdy8=")</f>
        <v>#REF!</v>
      </c>
      <c r="AW29" t="e">
        <f>AND(#REF!,"AAAAAG3cdzA=")</f>
        <v>#REF!</v>
      </c>
      <c r="AX29" t="e">
        <f>AND(#REF!,"AAAAAG3cdzE=")</f>
        <v>#REF!</v>
      </c>
      <c r="AY29" t="e">
        <f>AND(#REF!,"AAAAAG3cdzI=")</f>
        <v>#REF!</v>
      </c>
      <c r="AZ29" t="e">
        <f>IF(#REF!,"AAAAAG3cdzM=",0)</f>
        <v>#REF!</v>
      </c>
      <c r="BA29" t="e">
        <f>AND(#REF!,"AAAAAG3cdzQ=")</f>
        <v>#REF!</v>
      </c>
      <c r="BB29" t="e">
        <f>AND(#REF!,"AAAAAG3cdzU=")</f>
        <v>#REF!</v>
      </c>
      <c r="BC29" t="e">
        <f>AND(#REF!,"AAAAAG3cdzY=")</f>
        <v>#REF!</v>
      </c>
      <c r="BD29" t="e">
        <f>AND(#REF!,"AAAAAG3cdzc=")</f>
        <v>#REF!</v>
      </c>
      <c r="BE29" t="e">
        <f>AND(#REF!,"AAAAAG3cdzg=")</f>
        <v>#REF!</v>
      </c>
      <c r="BF29" t="e">
        <f>AND(#REF!,"AAAAAG3cdzk=")</f>
        <v>#REF!</v>
      </c>
      <c r="BG29" t="e">
        <f>AND(#REF!,"AAAAAG3cdzo=")</f>
        <v>#REF!</v>
      </c>
      <c r="BH29" t="e">
        <f>AND(#REF!,"AAAAAG3cdzs=")</f>
        <v>#REF!</v>
      </c>
      <c r="BI29" t="e">
        <f>AND(#REF!,"AAAAAG3cdzw=")</f>
        <v>#REF!</v>
      </c>
      <c r="BJ29" t="e">
        <f>AND(#REF!,"AAAAAG3cdz0=")</f>
        <v>#REF!</v>
      </c>
      <c r="BK29" t="e">
        <f>AND(#REF!,"AAAAAG3cdz4=")</f>
        <v>#REF!</v>
      </c>
      <c r="BL29" t="e">
        <f>AND(#REF!,"AAAAAG3cdz8=")</f>
        <v>#REF!</v>
      </c>
      <c r="BM29" t="e">
        <f>AND(#REF!,"AAAAAG3cd0A=")</f>
        <v>#REF!</v>
      </c>
      <c r="BN29" t="e">
        <f>AND(#REF!,"AAAAAG3cd0E=")</f>
        <v>#REF!</v>
      </c>
      <c r="BO29" t="e">
        <f>AND(#REF!,"AAAAAG3cd0I=")</f>
        <v>#REF!</v>
      </c>
      <c r="BP29" t="e">
        <f>AND(#REF!,"AAAAAG3cd0M=")</f>
        <v>#REF!</v>
      </c>
      <c r="BQ29" t="e">
        <f>AND(#REF!,"AAAAAG3cd0Q=")</f>
        <v>#REF!</v>
      </c>
      <c r="BR29" t="e">
        <f>AND(#REF!,"AAAAAG3cd0U=")</f>
        <v>#REF!</v>
      </c>
      <c r="BS29" t="e">
        <f>AND(#REF!,"AAAAAG3cd0Y=")</f>
        <v>#REF!</v>
      </c>
      <c r="BT29" t="e">
        <f>AND(#REF!,"AAAAAG3cd0c=")</f>
        <v>#REF!</v>
      </c>
      <c r="BU29" t="e">
        <f>AND(#REF!,"AAAAAG3cd0g=")</f>
        <v>#REF!</v>
      </c>
      <c r="BV29" t="e">
        <f>AND(#REF!,"AAAAAG3cd0k=")</f>
        <v>#REF!</v>
      </c>
      <c r="BW29" t="e">
        <f>AND(#REF!,"AAAAAG3cd0o=")</f>
        <v>#REF!</v>
      </c>
      <c r="BX29" t="e">
        <f>AND(#REF!,"AAAAAG3cd0s=")</f>
        <v>#REF!</v>
      </c>
      <c r="BY29" t="e">
        <f>AND(#REF!,"AAAAAG3cd0w=")</f>
        <v>#REF!</v>
      </c>
      <c r="BZ29" t="e">
        <f>AND(#REF!,"AAAAAG3cd00=")</f>
        <v>#REF!</v>
      </c>
      <c r="CA29" t="e">
        <f>AND(#REF!,"AAAAAG3cd04=")</f>
        <v>#REF!</v>
      </c>
      <c r="CB29" t="e">
        <f>AND(#REF!,"AAAAAG3cd08=")</f>
        <v>#REF!</v>
      </c>
      <c r="CC29" t="e">
        <f>AND(#REF!,"AAAAAG3cd1A=")</f>
        <v>#REF!</v>
      </c>
      <c r="CD29" t="e">
        <f>AND(#REF!,"AAAAAG3cd1E=")</f>
        <v>#REF!</v>
      </c>
      <c r="CE29" t="e">
        <f>AND(#REF!,"AAAAAG3cd1I=")</f>
        <v>#REF!</v>
      </c>
      <c r="CF29" t="e">
        <f>AND(#REF!,"AAAAAG3cd1M=")</f>
        <v>#REF!</v>
      </c>
      <c r="CG29" t="e">
        <f>AND(#REF!,"AAAAAG3cd1Q=")</f>
        <v>#REF!</v>
      </c>
      <c r="CH29" t="e">
        <f>AND(#REF!,"AAAAAG3cd1U=")</f>
        <v>#REF!</v>
      </c>
      <c r="CI29" t="e">
        <f>AND(#REF!,"AAAAAG3cd1Y=")</f>
        <v>#REF!</v>
      </c>
      <c r="CJ29" t="e">
        <f>AND(#REF!,"AAAAAG3cd1c=")</f>
        <v>#REF!</v>
      </c>
      <c r="CK29" t="e">
        <f>AND(#REF!,"AAAAAG3cd1g=")</f>
        <v>#REF!</v>
      </c>
      <c r="CL29" t="e">
        <f>AND(#REF!,"AAAAAG3cd1k=")</f>
        <v>#REF!</v>
      </c>
      <c r="CM29" t="e">
        <f>AND(#REF!,"AAAAAG3cd1o=")</f>
        <v>#REF!</v>
      </c>
      <c r="CN29" t="e">
        <f>IF(#REF!,"AAAAAG3cd1s=",0)</f>
        <v>#REF!</v>
      </c>
      <c r="CO29" t="e">
        <f>AND(#REF!,"AAAAAG3cd1w=")</f>
        <v>#REF!</v>
      </c>
      <c r="CP29" t="e">
        <f>AND(#REF!,"AAAAAG3cd10=")</f>
        <v>#REF!</v>
      </c>
      <c r="CQ29" t="e">
        <f>AND(#REF!,"AAAAAG3cd14=")</f>
        <v>#REF!</v>
      </c>
      <c r="CR29" t="e">
        <f>AND(#REF!,"AAAAAG3cd18=")</f>
        <v>#REF!</v>
      </c>
      <c r="CS29" t="e">
        <f>AND(#REF!,"AAAAAG3cd2A=")</f>
        <v>#REF!</v>
      </c>
      <c r="CT29" t="e">
        <f>AND(#REF!,"AAAAAG3cd2E=")</f>
        <v>#REF!</v>
      </c>
      <c r="CU29" t="e">
        <f>AND(#REF!,"AAAAAG3cd2I=")</f>
        <v>#REF!</v>
      </c>
      <c r="CV29" t="e">
        <f>AND(#REF!,"AAAAAG3cd2M=")</f>
        <v>#REF!</v>
      </c>
      <c r="CW29" t="e">
        <f>AND(#REF!,"AAAAAG3cd2Q=")</f>
        <v>#REF!</v>
      </c>
      <c r="CX29" t="e">
        <f>AND(#REF!,"AAAAAG3cd2U=")</f>
        <v>#REF!</v>
      </c>
      <c r="CY29" t="e">
        <f>AND(#REF!,"AAAAAG3cd2Y=")</f>
        <v>#REF!</v>
      </c>
      <c r="CZ29" t="e">
        <f>AND(#REF!,"AAAAAG3cd2c=")</f>
        <v>#REF!</v>
      </c>
      <c r="DA29" t="e">
        <f>AND(#REF!,"AAAAAG3cd2g=")</f>
        <v>#REF!</v>
      </c>
      <c r="DB29" t="e">
        <f>AND(#REF!,"AAAAAG3cd2k=")</f>
        <v>#REF!</v>
      </c>
      <c r="DC29" t="e">
        <f>AND(#REF!,"AAAAAG3cd2o=")</f>
        <v>#REF!</v>
      </c>
      <c r="DD29" t="e">
        <f>AND(#REF!,"AAAAAG3cd2s=")</f>
        <v>#REF!</v>
      </c>
      <c r="DE29" t="e">
        <f>AND(#REF!,"AAAAAG3cd2w=")</f>
        <v>#REF!</v>
      </c>
      <c r="DF29" t="e">
        <f>AND(#REF!,"AAAAAG3cd20=")</f>
        <v>#REF!</v>
      </c>
      <c r="DG29" t="e">
        <f>AND(#REF!,"AAAAAG3cd24=")</f>
        <v>#REF!</v>
      </c>
      <c r="DH29" t="e">
        <f>AND(#REF!,"AAAAAG3cd28=")</f>
        <v>#REF!</v>
      </c>
      <c r="DI29" t="e">
        <f>AND(#REF!,"AAAAAG3cd3A=")</f>
        <v>#REF!</v>
      </c>
      <c r="DJ29" t="e">
        <f>AND(#REF!,"AAAAAG3cd3E=")</f>
        <v>#REF!</v>
      </c>
      <c r="DK29" t="e">
        <f>AND(#REF!,"AAAAAG3cd3I=")</f>
        <v>#REF!</v>
      </c>
      <c r="DL29" t="e">
        <f>AND(#REF!,"AAAAAG3cd3M=")</f>
        <v>#REF!</v>
      </c>
      <c r="DM29" t="e">
        <f>AND(#REF!,"AAAAAG3cd3Q=")</f>
        <v>#REF!</v>
      </c>
      <c r="DN29" t="e">
        <f>AND(#REF!,"AAAAAG3cd3U=")</f>
        <v>#REF!</v>
      </c>
      <c r="DO29" t="e">
        <f>AND(#REF!,"AAAAAG3cd3Y=")</f>
        <v>#REF!</v>
      </c>
      <c r="DP29" t="e">
        <f>AND(#REF!,"AAAAAG3cd3c=")</f>
        <v>#REF!</v>
      </c>
      <c r="DQ29" t="e">
        <f>AND(#REF!,"AAAAAG3cd3g=")</f>
        <v>#REF!</v>
      </c>
      <c r="DR29" t="e">
        <f>AND(#REF!,"AAAAAG3cd3k=")</f>
        <v>#REF!</v>
      </c>
      <c r="DS29" t="e">
        <f>AND(#REF!,"AAAAAG3cd3o=")</f>
        <v>#REF!</v>
      </c>
      <c r="DT29" t="e">
        <f>AND(#REF!,"AAAAAG3cd3s=")</f>
        <v>#REF!</v>
      </c>
      <c r="DU29" t="e">
        <f>AND(#REF!,"AAAAAG3cd3w=")</f>
        <v>#REF!</v>
      </c>
      <c r="DV29" t="e">
        <f>AND(#REF!,"AAAAAG3cd30=")</f>
        <v>#REF!</v>
      </c>
      <c r="DW29" t="e">
        <f>AND(#REF!,"AAAAAG3cd34=")</f>
        <v>#REF!</v>
      </c>
      <c r="DX29" t="e">
        <f>AND(#REF!,"AAAAAG3cd38=")</f>
        <v>#REF!</v>
      </c>
      <c r="DY29" t="e">
        <f>AND(#REF!,"AAAAAG3cd4A=")</f>
        <v>#REF!</v>
      </c>
      <c r="DZ29" t="e">
        <f>AND(#REF!,"AAAAAG3cd4E=")</f>
        <v>#REF!</v>
      </c>
      <c r="EA29" t="e">
        <f>AND(#REF!,"AAAAAG3cd4I=")</f>
        <v>#REF!</v>
      </c>
      <c r="EB29" t="e">
        <f>IF(#REF!,"AAAAAG3cd4M=",0)</f>
        <v>#REF!</v>
      </c>
      <c r="EC29" t="e">
        <f>AND(#REF!,"AAAAAG3cd4Q=")</f>
        <v>#REF!</v>
      </c>
      <c r="ED29" t="e">
        <f>AND(#REF!,"AAAAAG3cd4U=")</f>
        <v>#REF!</v>
      </c>
      <c r="EE29" t="e">
        <f>AND(#REF!,"AAAAAG3cd4Y=")</f>
        <v>#REF!</v>
      </c>
      <c r="EF29" t="e">
        <f>AND(#REF!,"AAAAAG3cd4c=")</f>
        <v>#REF!</v>
      </c>
      <c r="EG29" t="e">
        <f>AND(#REF!,"AAAAAG3cd4g=")</f>
        <v>#REF!</v>
      </c>
      <c r="EH29" t="e">
        <f>AND(#REF!,"AAAAAG3cd4k=")</f>
        <v>#REF!</v>
      </c>
      <c r="EI29" t="e">
        <f>AND(#REF!,"AAAAAG3cd4o=")</f>
        <v>#REF!</v>
      </c>
      <c r="EJ29" t="e">
        <f>AND(#REF!,"AAAAAG3cd4s=")</f>
        <v>#REF!</v>
      </c>
      <c r="EK29" t="e">
        <f>AND(#REF!,"AAAAAG3cd4w=")</f>
        <v>#REF!</v>
      </c>
      <c r="EL29" t="e">
        <f>AND(#REF!,"AAAAAG3cd40=")</f>
        <v>#REF!</v>
      </c>
      <c r="EM29" t="e">
        <f>AND(#REF!,"AAAAAG3cd44=")</f>
        <v>#REF!</v>
      </c>
      <c r="EN29" t="e">
        <f>AND(#REF!,"AAAAAG3cd48=")</f>
        <v>#REF!</v>
      </c>
      <c r="EO29" t="e">
        <f>AND(#REF!,"AAAAAG3cd5A=")</f>
        <v>#REF!</v>
      </c>
      <c r="EP29" t="e">
        <f>AND(#REF!,"AAAAAG3cd5E=")</f>
        <v>#REF!</v>
      </c>
      <c r="EQ29" t="e">
        <f>AND(#REF!,"AAAAAG3cd5I=")</f>
        <v>#REF!</v>
      </c>
      <c r="ER29" t="e">
        <f>AND(#REF!,"AAAAAG3cd5M=")</f>
        <v>#REF!</v>
      </c>
      <c r="ES29" t="e">
        <f>AND(#REF!,"AAAAAG3cd5Q=")</f>
        <v>#REF!</v>
      </c>
      <c r="ET29" t="e">
        <f>AND(#REF!,"AAAAAG3cd5U=")</f>
        <v>#REF!</v>
      </c>
      <c r="EU29" t="e">
        <f>AND(#REF!,"AAAAAG3cd5Y=")</f>
        <v>#REF!</v>
      </c>
      <c r="EV29" t="e">
        <f>AND(#REF!,"AAAAAG3cd5c=")</f>
        <v>#REF!</v>
      </c>
      <c r="EW29" t="e">
        <f>AND(#REF!,"AAAAAG3cd5g=")</f>
        <v>#REF!</v>
      </c>
      <c r="EX29" t="e">
        <f>AND(#REF!,"AAAAAG3cd5k=")</f>
        <v>#REF!</v>
      </c>
      <c r="EY29" t="e">
        <f>AND(#REF!,"AAAAAG3cd5o=")</f>
        <v>#REF!</v>
      </c>
      <c r="EZ29" t="e">
        <f>AND(#REF!,"AAAAAG3cd5s=")</f>
        <v>#REF!</v>
      </c>
      <c r="FA29" t="e">
        <f>AND(#REF!,"AAAAAG3cd5w=")</f>
        <v>#REF!</v>
      </c>
      <c r="FB29" t="e">
        <f>AND(#REF!,"AAAAAG3cd50=")</f>
        <v>#REF!</v>
      </c>
      <c r="FC29" t="e">
        <f>AND(#REF!,"AAAAAG3cd54=")</f>
        <v>#REF!</v>
      </c>
      <c r="FD29" t="e">
        <f>AND(#REF!,"AAAAAG3cd58=")</f>
        <v>#REF!</v>
      </c>
      <c r="FE29" t="e">
        <f>AND(#REF!,"AAAAAG3cd6A=")</f>
        <v>#REF!</v>
      </c>
      <c r="FF29" t="e">
        <f>AND(#REF!,"AAAAAG3cd6E=")</f>
        <v>#REF!</v>
      </c>
      <c r="FG29" t="e">
        <f>AND(#REF!,"AAAAAG3cd6I=")</f>
        <v>#REF!</v>
      </c>
      <c r="FH29" t="e">
        <f>AND(#REF!,"AAAAAG3cd6M=")</f>
        <v>#REF!</v>
      </c>
      <c r="FI29" t="e">
        <f>AND(#REF!,"AAAAAG3cd6Q=")</f>
        <v>#REF!</v>
      </c>
      <c r="FJ29" t="e">
        <f>AND(#REF!,"AAAAAG3cd6U=")</f>
        <v>#REF!</v>
      </c>
      <c r="FK29" t="e">
        <f>AND(#REF!,"AAAAAG3cd6Y=")</f>
        <v>#REF!</v>
      </c>
      <c r="FL29" t="e">
        <f>AND(#REF!,"AAAAAG3cd6c=")</f>
        <v>#REF!</v>
      </c>
      <c r="FM29" t="e">
        <f>AND(#REF!,"AAAAAG3cd6g=")</f>
        <v>#REF!</v>
      </c>
      <c r="FN29" t="e">
        <f>AND(#REF!,"AAAAAG3cd6k=")</f>
        <v>#REF!</v>
      </c>
      <c r="FO29" t="e">
        <f>AND(#REF!,"AAAAAG3cd6o=")</f>
        <v>#REF!</v>
      </c>
      <c r="FP29" t="e">
        <f>IF(#REF!,"AAAAAG3cd6s=",0)</f>
        <v>#REF!</v>
      </c>
      <c r="FQ29" t="e">
        <f>AND(#REF!,"AAAAAG3cd6w=")</f>
        <v>#REF!</v>
      </c>
      <c r="FR29" t="e">
        <f>AND(#REF!,"AAAAAG3cd60=")</f>
        <v>#REF!</v>
      </c>
      <c r="FS29" t="e">
        <f>AND(#REF!,"AAAAAG3cd64=")</f>
        <v>#REF!</v>
      </c>
      <c r="FT29" t="e">
        <f>AND(#REF!,"AAAAAG3cd68=")</f>
        <v>#REF!</v>
      </c>
      <c r="FU29" t="e">
        <f>AND(#REF!,"AAAAAG3cd7A=")</f>
        <v>#REF!</v>
      </c>
      <c r="FV29" t="e">
        <f>AND(#REF!,"AAAAAG3cd7E=")</f>
        <v>#REF!</v>
      </c>
      <c r="FW29" t="e">
        <f>AND(#REF!,"AAAAAG3cd7I=")</f>
        <v>#REF!</v>
      </c>
      <c r="FX29" t="e">
        <f>AND(#REF!,"AAAAAG3cd7M=")</f>
        <v>#REF!</v>
      </c>
      <c r="FY29" t="e">
        <f>AND(#REF!,"AAAAAG3cd7Q=")</f>
        <v>#REF!</v>
      </c>
      <c r="FZ29" t="e">
        <f>AND(#REF!,"AAAAAG3cd7U=")</f>
        <v>#REF!</v>
      </c>
      <c r="GA29" t="e">
        <f>AND(#REF!,"AAAAAG3cd7Y=")</f>
        <v>#REF!</v>
      </c>
      <c r="GB29" t="e">
        <f>AND(#REF!,"AAAAAG3cd7c=")</f>
        <v>#REF!</v>
      </c>
      <c r="GC29" t="e">
        <f>AND(#REF!,"AAAAAG3cd7g=")</f>
        <v>#REF!</v>
      </c>
      <c r="GD29" t="e">
        <f>AND(#REF!,"AAAAAG3cd7k=")</f>
        <v>#REF!</v>
      </c>
      <c r="GE29" t="e">
        <f>AND(#REF!,"AAAAAG3cd7o=")</f>
        <v>#REF!</v>
      </c>
      <c r="GF29" t="e">
        <f>AND(#REF!,"AAAAAG3cd7s=")</f>
        <v>#REF!</v>
      </c>
      <c r="GG29" t="e">
        <f>AND(#REF!,"AAAAAG3cd7w=")</f>
        <v>#REF!</v>
      </c>
      <c r="GH29" t="e">
        <f>AND(#REF!,"AAAAAG3cd70=")</f>
        <v>#REF!</v>
      </c>
      <c r="GI29" t="e">
        <f>AND(#REF!,"AAAAAG3cd74=")</f>
        <v>#REF!</v>
      </c>
      <c r="GJ29" t="e">
        <f>AND(#REF!,"AAAAAG3cd78=")</f>
        <v>#REF!</v>
      </c>
      <c r="GK29" t="e">
        <f>AND(#REF!,"AAAAAG3cd8A=")</f>
        <v>#REF!</v>
      </c>
      <c r="GL29" t="e">
        <f>AND(#REF!,"AAAAAG3cd8E=")</f>
        <v>#REF!</v>
      </c>
      <c r="GM29" t="e">
        <f>AND(#REF!,"AAAAAG3cd8I=")</f>
        <v>#REF!</v>
      </c>
      <c r="GN29" t="e">
        <f>AND(#REF!,"AAAAAG3cd8M=")</f>
        <v>#REF!</v>
      </c>
      <c r="GO29" t="e">
        <f>AND(#REF!,"AAAAAG3cd8Q=")</f>
        <v>#REF!</v>
      </c>
      <c r="GP29" t="e">
        <f>AND(#REF!,"AAAAAG3cd8U=")</f>
        <v>#REF!</v>
      </c>
      <c r="GQ29" t="e">
        <f>AND(#REF!,"AAAAAG3cd8Y=")</f>
        <v>#REF!</v>
      </c>
      <c r="GR29" t="e">
        <f>AND(#REF!,"AAAAAG3cd8c=")</f>
        <v>#REF!</v>
      </c>
      <c r="GS29" t="e">
        <f>AND(#REF!,"AAAAAG3cd8g=")</f>
        <v>#REF!</v>
      </c>
      <c r="GT29" t="e">
        <f>AND(#REF!,"AAAAAG3cd8k=")</f>
        <v>#REF!</v>
      </c>
      <c r="GU29" t="e">
        <f>AND(#REF!,"AAAAAG3cd8o=")</f>
        <v>#REF!</v>
      </c>
      <c r="GV29" t="e">
        <f>AND(#REF!,"AAAAAG3cd8s=")</f>
        <v>#REF!</v>
      </c>
      <c r="GW29" t="e">
        <f>AND(#REF!,"AAAAAG3cd8w=")</f>
        <v>#REF!</v>
      </c>
      <c r="GX29" t="e">
        <f>AND(#REF!,"AAAAAG3cd80=")</f>
        <v>#REF!</v>
      </c>
      <c r="GY29" t="e">
        <f>AND(#REF!,"AAAAAG3cd84=")</f>
        <v>#REF!</v>
      </c>
      <c r="GZ29" t="e">
        <f>AND(#REF!,"AAAAAG3cd88=")</f>
        <v>#REF!</v>
      </c>
      <c r="HA29" t="e">
        <f>AND(#REF!,"AAAAAG3cd9A=")</f>
        <v>#REF!</v>
      </c>
      <c r="HB29" t="e">
        <f>AND(#REF!,"AAAAAG3cd9E=")</f>
        <v>#REF!</v>
      </c>
      <c r="HC29" t="e">
        <f>AND(#REF!,"AAAAAG3cd9I=")</f>
        <v>#REF!</v>
      </c>
      <c r="HD29" t="e">
        <f>IF(#REF!,"AAAAAG3cd9M=",0)</f>
        <v>#REF!</v>
      </c>
      <c r="HE29" t="e">
        <f>AND(#REF!,"AAAAAG3cd9Q=")</f>
        <v>#REF!</v>
      </c>
      <c r="HF29" t="e">
        <f>AND(#REF!,"AAAAAG3cd9U=")</f>
        <v>#REF!</v>
      </c>
      <c r="HG29" t="e">
        <f>AND(#REF!,"AAAAAG3cd9Y=")</f>
        <v>#REF!</v>
      </c>
      <c r="HH29" t="e">
        <f>AND(#REF!,"AAAAAG3cd9c=")</f>
        <v>#REF!</v>
      </c>
      <c r="HI29" t="e">
        <f>AND(#REF!,"AAAAAG3cd9g=")</f>
        <v>#REF!</v>
      </c>
      <c r="HJ29" t="e">
        <f>AND(#REF!,"AAAAAG3cd9k=")</f>
        <v>#REF!</v>
      </c>
      <c r="HK29" t="e">
        <f>AND(#REF!,"AAAAAG3cd9o=")</f>
        <v>#REF!</v>
      </c>
      <c r="HL29" t="e">
        <f>AND(#REF!,"AAAAAG3cd9s=")</f>
        <v>#REF!</v>
      </c>
      <c r="HM29" t="e">
        <f>AND(#REF!,"AAAAAG3cd9w=")</f>
        <v>#REF!</v>
      </c>
      <c r="HN29" t="e">
        <f>AND(#REF!,"AAAAAG3cd90=")</f>
        <v>#REF!</v>
      </c>
      <c r="HO29" t="e">
        <f>AND(#REF!,"AAAAAG3cd94=")</f>
        <v>#REF!</v>
      </c>
      <c r="HP29" t="e">
        <f>AND(#REF!,"AAAAAG3cd98=")</f>
        <v>#REF!</v>
      </c>
      <c r="HQ29" t="e">
        <f>AND(#REF!,"AAAAAG3cd+A=")</f>
        <v>#REF!</v>
      </c>
      <c r="HR29" t="e">
        <f>AND(#REF!,"AAAAAG3cd+E=")</f>
        <v>#REF!</v>
      </c>
      <c r="HS29" t="e">
        <f>AND(#REF!,"AAAAAG3cd+I=")</f>
        <v>#REF!</v>
      </c>
      <c r="HT29" t="e">
        <f>AND(#REF!,"AAAAAG3cd+M=")</f>
        <v>#REF!</v>
      </c>
      <c r="HU29" t="e">
        <f>AND(#REF!,"AAAAAG3cd+Q=")</f>
        <v>#REF!</v>
      </c>
      <c r="HV29" t="e">
        <f>AND(#REF!,"AAAAAG3cd+U=")</f>
        <v>#REF!</v>
      </c>
      <c r="HW29" t="e">
        <f>AND(#REF!,"AAAAAG3cd+Y=")</f>
        <v>#REF!</v>
      </c>
      <c r="HX29" t="e">
        <f>AND(#REF!,"AAAAAG3cd+c=")</f>
        <v>#REF!</v>
      </c>
      <c r="HY29" t="e">
        <f>AND(#REF!,"AAAAAG3cd+g=")</f>
        <v>#REF!</v>
      </c>
      <c r="HZ29" t="e">
        <f>AND(#REF!,"AAAAAG3cd+k=")</f>
        <v>#REF!</v>
      </c>
      <c r="IA29" t="e">
        <f>AND(#REF!,"AAAAAG3cd+o=")</f>
        <v>#REF!</v>
      </c>
      <c r="IB29" t="e">
        <f>AND(#REF!,"AAAAAG3cd+s=")</f>
        <v>#REF!</v>
      </c>
      <c r="IC29" t="e">
        <f>AND(#REF!,"AAAAAG3cd+w=")</f>
        <v>#REF!</v>
      </c>
      <c r="ID29" t="e">
        <f>AND(#REF!,"AAAAAG3cd+0=")</f>
        <v>#REF!</v>
      </c>
      <c r="IE29" t="e">
        <f>AND(#REF!,"AAAAAG3cd+4=")</f>
        <v>#REF!</v>
      </c>
      <c r="IF29" t="e">
        <f>AND(#REF!,"AAAAAG3cd+8=")</f>
        <v>#REF!</v>
      </c>
      <c r="IG29" t="e">
        <f>AND(#REF!,"AAAAAG3cd/A=")</f>
        <v>#REF!</v>
      </c>
      <c r="IH29" t="e">
        <f>AND(#REF!,"AAAAAG3cd/E=")</f>
        <v>#REF!</v>
      </c>
      <c r="II29" t="e">
        <f>AND(#REF!,"AAAAAG3cd/I=")</f>
        <v>#REF!</v>
      </c>
      <c r="IJ29" t="e">
        <f>AND(#REF!,"AAAAAG3cd/M=")</f>
        <v>#REF!</v>
      </c>
      <c r="IK29" t="e">
        <f>AND(#REF!,"AAAAAG3cd/Q=")</f>
        <v>#REF!</v>
      </c>
      <c r="IL29" t="e">
        <f>AND(#REF!,"AAAAAG3cd/U=")</f>
        <v>#REF!</v>
      </c>
      <c r="IM29" t="e">
        <f>AND(#REF!,"AAAAAG3cd/Y=")</f>
        <v>#REF!</v>
      </c>
      <c r="IN29" t="e">
        <f>AND(#REF!,"AAAAAG3cd/c=")</f>
        <v>#REF!</v>
      </c>
      <c r="IO29" t="e">
        <f>AND(#REF!,"AAAAAG3cd/g=")</f>
        <v>#REF!</v>
      </c>
      <c r="IP29" t="e">
        <f>AND(#REF!,"AAAAAG3cd/k=")</f>
        <v>#REF!</v>
      </c>
      <c r="IQ29" t="e">
        <f>AND(#REF!,"AAAAAG3cd/o=")</f>
        <v>#REF!</v>
      </c>
      <c r="IR29" t="e">
        <f>IF(#REF!,"AAAAAG3cd/s=",0)</f>
        <v>#REF!</v>
      </c>
      <c r="IS29" t="e">
        <f>AND(#REF!,"AAAAAG3cd/w=")</f>
        <v>#REF!</v>
      </c>
      <c r="IT29" t="e">
        <f>AND(#REF!,"AAAAAG3cd/0=")</f>
        <v>#REF!</v>
      </c>
      <c r="IU29" t="e">
        <f>AND(#REF!,"AAAAAG3cd/4=")</f>
        <v>#REF!</v>
      </c>
      <c r="IV29" t="e">
        <f>AND(#REF!,"AAAAAG3cd/8=")</f>
        <v>#REF!</v>
      </c>
    </row>
    <row r="30" spans="1:256" x14ac:dyDescent="0.35">
      <c r="A30" t="e">
        <f>AND(#REF!,"AAAAAD73+wA=")</f>
        <v>#REF!</v>
      </c>
      <c r="B30" t="e">
        <f>AND(#REF!,"AAAAAD73+wE=")</f>
        <v>#REF!</v>
      </c>
      <c r="C30" t="e">
        <f>AND(#REF!,"AAAAAD73+wI=")</f>
        <v>#REF!</v>
      </c>
      <c r="D30" t="e">
        <f>AND(#REF!,"AAAAAD73+wM=")</f>
        <v>#REF!</v>
      </c>
      <c r="E30" t="e">
        <f>AND(#REF!,"AAAAAD73+wQ=")</f>
        <v>#REF!</v>
      </c>
      <c r="F30" t="e">
        <f>AND(#REF!,"AAAAAD73+wU=")</f>
        <v>#REF!</v>
      </c>
      <c r="G30" t="e">
        <f>AND(#REF!,"AAAAAD73+wY=")</f>
        <v>#REF!</v>
      </c>
      <c r="H30" t="e">
        <f>AND(#REF!,"AAAAAD73+wc=")</f>
        <v>#REF!</v>
      </c>
      <c r="I30" t="e">
        <f>AND(#REF!,"AAAAAD73+wg=")</f>
        <v>#REF!</v>
      </c>
      <c r="J30" t="e">
        <f>AND(#REF!,"AAAAAD73+wk=")</f>
        <v>#REF!</v>
      </c>
      <c r="K30" t="e">
        <f>AND(#REF!,"AAAAAD73+wo=")</f>
        <v>#REF!</v>
      </c>
      <c r="L30" t="e">
        <f>AND(#REF!,"AAAAAD73+ws=")</f>
        <v>#REF!</v>
      </c>
      <c r="M30" t="e">
        <f>AND(#REF!,"AAAAAD73+ww=")</f>
        <v>#REF!</v>
      </c>
      <c r="N30" t="e">
        <f>AND(#REF!,"AAAAAD73+w0=")</f>
        <v>#REF!</v>
      </c>
      <c r="O30" t="e">
        <f>AND(#REF!,"AAAAAD73+w4=")</f>
        <v>#REF!</v>
      </c>
      <c r="P30" t="e">
        <f>AND(#REF!,"AAAAAD73+w8=")</f>
        <v>#REF!</v>
      </c>
      <c r="Q30" t="e">
        <f>AND(#REF!,"AAAAAD73+xA=")</f>
        <v>#REF!</v>
      </c>
      <c r="R30" t="e">
        <f>AND(#REF!,"AAAAAD73+xE=")</f>
        <v>#REF!</v>
      </c>
      <c r="S30" t="e">
        <f>AND(#REF!,"AAAAAD73+xI=")</f>
        <v>#REF!</v>
      </c>
      <c r="T30" t="e">
        <f>AND(#REF!,"AAAAAD73+xM=")</f>
        <v>#REF!</v>
      </c>
      <c r="U30" t="e">
        <f>AND(#REF!,"AAAAAD73+xQ=")</f>
        <v>#REF!</v>
      </c>
      <c r="V30" t="e">
        <f>AND(#REF!,"AAAAAD73+xU=")</f>
        <v>#REF!</v>
      </c>
      <c r="W30" t="e">
        <f>AND(#REF!,"AAAAAD73+xY=")</f>
        <v>#REF!</v>
      </c>
      <c r="X30" t="e">
        <f>AND(#REF!,"AAAAAD73+xc=")</f>
        <v>#REF!</v>
      </c>
      <c r="Y30" t="e">
        <f>AND(#REF!,"AAAAAD73+xg=")</f>
        <v>#REF!</v>
      </c>
      <c r="Z30" t="e">
        <f>AND(#REF!,"AAAAAD73+xk=")</f>
        <v>#REF!</v>
      </c>
      <c r="AA30" t="e">
        <f>AND(#REF!,"AAAAAD73+xo=")</f>
        <v>#REF!</v>
      </c>
      <c r="AB30" t="e">
        <f>AND(#REF!,"AAAAAD73+xs=")</f>
        <v>#REF!</v>
      </c>
      <c r="AC30" t="e">
        <f>AND(#REF!,"AAAAAD73+xw=")</f>
        <v>#REF!</v>
      </c>
      <c r="AD30" t="e">
        <f>AND(#REF!,"AAAAAD73+x0=")</f>
        <v>#REF!</v>
      </c>
      <c r="AE30" t="e">
        <f>AND(#REF!,"AAAAAD73+x4=")</f>
        <v>#REF!</v>
      </c>
      <c r="AF30" t="e">
        <f>AND(#REF!,"AAAAAD73+x8=")</f>
        <v>#REF!</v>
      </c>
      <c r="AG30" t="e">
        <f>AND(#REF!,"AAAAAD73+yA=")</f>
        <v>#REF!</v>
      </c>
      <c r="AH30" t="e">
        <f>AND(#REF!,"AAAAAD73+yE=")</f>
        <v>#REF!</v>
      </c>
      <c r="AI30" t="e">
        <f>AND(#REF!,"AAAAAD73+yI=")</f>
        <v>#REF!</v>
      </c>
      <c r="AJ30" t="e">
        <f>IF(#REF!,"AAAAAD73+yM=",0)</f>
        <v>#REF!</v>
      </c>
      <c r="AK30" t="e">
        <f>AND(#REF!,"AAAAAD73+yQ=")</f>
        <v>#REF!</v>
      </c>
      <c r="AL30" t="e">
        <f>AND(#REF!,"AAAAAD73+yU=")</f>
        <v>#REF!</v>
      </c>
      <c r="AM30" t="e">
        <f>AND(#REF!,"AAAAAD73+yY=")</f>
        <v>#REF!</v>
      </c>
      <c r="AN30" t="e">
        <f>AND(#REF!,"AAAAAD73+yc=")</f>
        <v>#REF!</v>
      </c>
      <c r="AO30" t="e">
        <f>AND(#REF!,"AAAAAD73+yg=")</f>
        <v>#REF!</v>
      </c>
      <c r="AP30" t="e">
        <f>AND(#REF!,"AAAAAD73+yk=")</f>
        <v>#REF!</v>
      </c>
      <c r="AQ30" t="e">
        <f>AND(#REF!,"AAAAAD73+yo=")</f>
        <v>#REF!</v>
      </c>
      <c r="AR30" t="e">
        <f>AND(#REF!,"AAAAAD73+ys=")</f>
        <v>#REF!</v>
      </c>
      <c r="AS30" t="e">
        <f>AND(#REF!,"AAAAAD73+yw=")</f>
        <v>#REF!</v>
      </c>
      <c r="AT30" t="e">
        <f>AND(#REF!,"AAAAAD73+y0=")</f>
        <v>#REF!</v>
      </c>
      <c r="AU30" t="e">
        <f>AND(#REF!,"AAAAAD73+y4=")</f>
        <v>#REF!</v>
      </c>
      <c r="AV30" t="e">
        <f>AND(#REF!,"AAAAAD73+y8=")</f>
        <v>#REF!</v>
      </c>
      <c r="AW30" t="e">
        <f>AND(#REF!,"AAAAAD73+zA=")</f>
        <v>#REF!</v>
      </c>
      <c r="AX30" t="e">
        <f>AND(#REF!,"AAAAAD73+zE=")</f>
        <v>#REF!</v>
      </c>
      <c r="AY30" t="e">
        <f>AND(#REF!,"AAAAAD73+zI=")</f>
        <v>#REF!</v>
      </c>
      <c r="AZ30" t="e">
        <f>AND(#REF!,"AAAAAD73+zM=")</f>
        <v>#REF!</v>
      </c>
      <c r="BA30" t="e">
        <f>AND(#REF!,"AAAAAD73+zQ=")</f>
        <v>#REF!</v>
      </c>
      <c r="BB30" t="e">
        <f>AND(#REF!,"AAAAAD73+zU=")</f>
        <v>#REF!</v>
      </c>
      <c r="BC30" t="e">
        <f>AND(#REF!,"AAAAAD73+zY=")</f>
        <v>#REF!</v>
      </c>
      <c r="BD30" t="e">
        <f>AND(#REF!,"AAAAAD73+zc=")</f>
        <v>#REF!</v>
      </c>
      <c r="BE30" t="e">
        <f>AND(#REF!,"AAAAAD73+zg=")</f>
        <v>#REF!</v>
      </c>
      <c r="BF30" t="e">
        <f>AND(#REF!,"AAAAAD73+zk=")</f>
        <v>#REF!</v>
      </c>
      <c r="BG30" t="e">
        <f>AND(#REF!,"AAAAAD73+zo=")</f>
        <v>#REF!</v>
      </c>
      <c r="BH30" t="e">
        <f>AND(#REF!,"AAAAAD73+zs=")</f>
        <v>#REF!</v>
      </c>
      <c r="BI30" t="e">
        <f>AND(#REF!,"AAAAAD73+zw=")</f>
        <v>#REF!</v>
      </c>
      <c r="BJ30" t="e">
        <f>AND(#REF!,"AAAAAD73+z0=")</f>
        <v>#REF!</v>
      </c>
      <c r="BK30" t="e">
        <f>AND(#REF!,"AAAAAD73+z4=")</f>
        <v>#REF!</v>
      </c>
      <c r="BL30" t="e">
        <f>AND(#REF!,"AAAAAD73+z8=")</f>
        <v>#REF!</v>
      </c>
      <c r="BM30" t="e">
        <f>AND(#REF!,"AAAAAD73+0A=")</f>
        <v>#REF!</v>
      </c>
      <c r="BN30" t="e">
        <f>AND(#REF!,"AAAAAD73+0E=")</f>
        <v>#REF!</v>
      </c>
      <c r="BO30" t="e">
        <f>AND(#REF!,"AAAAAD73+0I=")</f>
        <v>#REF!</v>
      </c>
      <c r="BP30" t="e">
        <f>AND(#REF!,"AAAAAD73+0M=")</f>
        <v>#REF!</v>
      </c>
      <c r="BQ30" t="e">
        <f>AND(#REF!,"AAAAAD73+0Q=")</f>
        <v>#REF!</v>
      </c>
      <c r="BR30" t="e">
        <f>AND(#REF!,"AAAAAD73+0U=")</f>
        <v>#REF!</v>
      </c>
      <c r="BS30" t="e">
        <f>AND(#REF!,"AAAAAD73+0Y=")</f>
        <v>#REF!</v>
      </c>
      <c r="BT30" t="e">
        <f>AND(#REF!,"AAAAAD73+0c=")</f>
        <v>#REF!</v>
      </c>
      <c r="BU30" t="e">
        <f>AND(#REF!,"AAAAAD73+0g=")</f>
        <v>#REF!</v>
      </c>
      <c r="BV30" t="e">
        <f>AND(#REF!,"AAAAAD73+0k=")</f>
        <v>#REF!</v>
      </c>
      <c r="BW30" t="e">
        <f>AND(#REF!,"AAAAAD73+0o=")</f>
        <v>#REF!</v>
      </c>
      <c r="BX30" t="e">
        <f>IF(#REF!,"AAAAAD73+0s=",0)</f>
        <v>#REF!</v>
      </c>
      <c r="BY30" t="e">
        <f>AND(#REF!,"AAAAAD73+0w=")</f>
        <v>#REF!</v>
      </c>
      <c r="BZ30" t="e">
        <f>AND(#REF!,"AAAAAD73+00=")</f>
        <v>#REF!</v>
      </c>
      <c r="CA30" t="e">
        <f>AND(#REF!,"AAAAAD73+04=")</f>
        <v>#REF!</v>
      </c>
      <c r="CB30" t="e">
        <f>AND(#REF!,"AAAAAD73+08=")</f>
        <v>#REF!</v>
      </c>
      <c r="CC30" t="e">
        <f>AND(#REF!,"AAAAAD73+1A=")</f>
        <v>#REF!</v>
      </c>
      <c r="CD30" t="e">
        <f>AND(#REF!,"AAAAAD73+1E=")</f>
        <v>#REF!</v>
      </c>
      <c r="CE30" t="e">
        <f>AND(#REF!,"AAAAAD73+1I=")</f>
        <v>#REF!</v>
      </c>
      <c r="CF30" t="e">
        <f>AND(#REF!,"AAAAAD73+1M=")</f>
        <v>#REF!</v>
      </c>
      <c r="CG30" t="e">
        <f>AND(#REF!,"AAAAAD73+1Q=")</f>
        <v>#REF!</v>
      </c>
      <c r="CH30" t="e">
        <f>AND(#REF!,"AAAAAD73+1U=")</f>
        <v>#REF!</v>
      </c>
      <c r="CI30" t="e">
        <f>AND(#REF!,"AAAAAD73+1Y=")</f>
        <v>#REF!</v>
      </c>
      <c r="CJ30" t="e">
        <f>AND(#REF!,"AAAAAD73+1c=")</f>
        <v>#REF!</v>
      </c>
      <c r="CK30" t="e">
        <f>AND(#REF!,"AAAAAD73+1g=")</f>
        <v>#REF!</v>
      </c>
      <c r="CL30" t="e">
        <f>AND(#REF!,"AAAAAD73+1k=")</f>
        <v>#REF!</v>
      </c>
      <c r="CM30" t="e">
        <f>AND(#REF!,"AAAAAD73+1o=")</f>
        <v>#REF!</v>
      </c>
      <c r="CN30" t="e">
        <f>AND(#REF!,"AAAAAD73+1s=")</f>
        <v>#REF!</v>
      </c>
      <c r="CO30" t="e">
        <f>AND(#REF!,"AAAAAD73+1w=")</f>
        <v>#REF!</v>
      </c>
      <c r="CP30" t="e">
        <f>AND(#REF!,"AAAAAD73+10=")</f>
        <v>#REF!</v>
      </c>
      <c r="CQ30" t="e">
        <f>AND(#REF!,"AAAAAD73+14=")</f>
        <v>#REF!</v>
      </c>
      <c r="CR30" t="e">
        <f>AND(#REF!,"AAAAAD73+18=")</f>
        <v>#REF!</v>
      </c>
      <c r="CS30" t="e">
        <f>AND(#REF!,"AAAAAD73+2A=")</f>
        <v>#REF!</v>
      </c>
      <c r="CT30" t="e">
        <f>AND(#REF!,"AAAAAD73+2E=")</f>
        <v>#REF!</v>
      </c>
      <c r="CU30" t="e">
        <f>AND(#REF!,"AAAAAD73+2I=")</f>
        <v>#REF!</v>
      </c>
      <c r="CV30" t="e">
        <f>AND(#REF!,"AAAAAD73+2M=")</f>
        <v>#REF!</v>
      </c>
      <c r="CW30" t="e">
        <f>AND(#REF!,"AAAAAD73+2Q=")</f>
        <v>#REF!</v>
      </c>
      <c r="CX30" t="e">
        <f>AND(#REF!,"AAAAAD73+2U=")</f>
        <v>#REF!</v>
      </c>
      <c r="CY30" t="e">
        <f>AND(#REF!,"AAAAAD73+2Y=")</f>
        <v>#REF!</v>
      </c>
      <c r="CZ30" t="e">
        <f>AND(#REF!,"AAAAAD73+2c=")</f>
        <v>#REF!</v>
      </c>
      <c r="DA30" t="e">
        <f>AND(#REF!,"AAAAAD73+2g=")</f>
        <v>#REF!</v>
      </c>
      <c r="DB30" t="e">
        <f>AND(#REF!,"AAAAAD73+2k=")</f>
        <v>#REF!</v>
      </c>
      <c r="DC30" t="e">
        <f>AND(#REF!,"AAAAAD73+2o=")</f>
        <v>#REF!</v>
      </c>
      <c r="DD30" t="e">
        <f>AND(#REF!,"AAAAAD73+2s=")</f>
        <v>#REF!</v>
      </c>
      <c r="DE30" t="e">
        <f>AND(#REF!,"AAAAAD73+2w=")</f>
        <v>#REF!</v>
      </c>
      <c r="DF30" t="e">
        <f>AND(#REF!,"AAAAAD73+20=")</f>
        <v>#REF!</v>
      </c>
      <c r="DG30" t="e">
        <f>AND(#REF!,"AAAAAD73+24=")</f>
        <v>#REF!</v>
      </c>
      <c r="DH30" t="e">
        <f>AND(#REF!,"AAAAAD73+28=")</f>
        <v>#REF!</v>
      </c>
      <c r="DI30" t="e">
        <f>AND(#REF!,"AAAAAD73+3A=")</f>
        <v>#REF!</v>
      </c>
      <c r="DJ30" t="e">
        <f>AND(#REF!,"AAAAAD73+3E=")</f>
        <v>#REF!</v>
      </c>
      <c r="DK30" t="e">
        <f>AND(#REF!,"AAAAAD73+3I=")</f>
        <v>#REF!</v>
      </c>
      <c r="DL30" t="e">
        <f>IF(#REF!,"AAAAAD73+3M=",0)</f>
        <v>#REF!</v>
      </c>
      <c r="DM30" t="e">
        <f>AND(#REF!,"AAAAAD73+3Q=")</f>
        <v>#REF!</v>
      </c>
      <c r="DN30" t="e">
        <f>AND(#REF!,"AAAAAD73+3U=")</f>
        <v>#REF!</v>
      </c>
      <c r="DO30" t="e">
        <f>AND(#REF!,"AAAAAD73+3Y=")</f>
        <v>#REF!</v>
      </c>
      <c r="DP30" t="e">
        <f>AND(#REF!,"AAAAAD73+3c=")</f>
        <v>#REF!</v>
      </c>
      <c r="DQ30" t="e">
        <f>AND(#REF!,"AAAAAD73+3g=")</f>
        <v>#REF!</v>
      </c>
      <c r="DR30" t="e">
        <f>AND(#REF!,"AAAAAD73+3k=")</f>
        <v>#REF!</v>
      </c>
      <c r="DS30" t="e">
        <f>AND(#REF!,"AAAAAD73+3o=")</f>
        <v>#REF!</v>
      </c>
      <c r="DT30" t="e">
        <f>AND(#REF!,"AAAAAD73+3s=")</f>
        <v>#REF!</v>
      </c>
      <c r="DU30" t="e">
        <f>AND(#REF!,"AAAAAD73+3w=")</f>
        <v>#REF!</v>
      </c>
      <c r="DV30" t="e">
        <f>AND(#REF!,"AAAAAD73+30=")</f>
        <v>#REF!</v>
      </c>
      <c r="DW30" t="e">
        <f>AND(#REF!,"AAAAAD73+34=")</f>
        <v>#REF!</v>
      </c>
      <c r="DX30" t="e">
        <f>AND(#REF!,"AAAAAD73+38=")</f>
        <v>#REF!</v>
      </c>
      <c r="DY30" t="e">
        <f>AND(#REF!,"AAAAAD73+4A=")</f>
        <v>#REF!</v>
      </c>
      <c r="DZ30" t="e">
        <f>AND(#REF!,"AAAAAD73+4E=")</f>
        <v>#REF!</v>
      </c>
      <c r="EA30" t="e">
        <f>AND(#REF!,"AAAAAD73+4I=")</f>
        <v>#REF!</v>
      </c>
      <c r="EB30" t="e">
        <f>AND(#REF!,"AAAAAD73+4M=")</f>
        <v>#REF!</v>
      </c>
      <c r="EC30" t="e">
        <f>AND(#REF!,"AAAAAD73+4Q=")</f>
        <v>#REF!</v>
      </c>
      <c r="ED30" t="e">
        <f>AND(#REF!,"AAAAAD73+4U=")</f>
        <v>#REF!</v>
      </c>
      <c r="EE30" t="e">
        <f>AND(#REF!,"AAAAAD73+4Y=")</f>
        <v>#REF!</v>
      </c>
      <c r="EF30" t="e">
        <f>AND(#REF!,"AAAAAD73+4c=")</f>
        <v>#REF!</v>
      </c>
      <c r="EG30" t="e">
        <f>AND(#REF!,"AAAAAD73+4g=")</f>
        <v>#REF!</v>
      </c>
      <c r="EH30" t="e">
        <f>AND(#REF!,"AAAAAD73+4k=")</f>
        <v>#REF!</v>
      </c>
      <c r="EI30" t="e">
        <f>AND(#REF!,"AAAAAD73+4o=")</f>
        <v>#REF!</v>
      </c>
      <c r="EJ30" t="e">
        <f>AND(#REF!,"AAAAAD73+4s=")</f>
        <v>#REF!</v>
      </c>
      <c r="EK30" t="e">
        <f>AND(#REF!,"AAAAAD73+4w=")</f>
        <v>#REF!</v>
      </c>
      <c r="EL30" t="e">
        <f>AND(#REF!,"AAAAAD73+40=")</f>
        <v>#REF!</v>
      </c>
      <c r="EM30" t="e">
        <f>AND(#REF!,"AAAAAD73+44=")</f>
        <v>#REF!</v>
      </c>
      <c r="EN30" t="e">
        <f>AND(#REF!,"AAAAAD73+48=")</f>
        <v>#REF!</v>
      </c>
      <c r="EO30" t="e">
        <f>AND(#REF!,"AAAAAD73+5A=")</f>
        <v>#REF!</v>
      </c>
      <c r="EP30" t="e">
        <f>AND(#REF!,"AAAAAD73+5E=")</f>
        <v>#REF!</v>
      </c>
      <c r="EQ30" t="e">
        <f>AND(#REF!,"AAAAAD73+5I=")</f>
        <v>#REF!</v>
      </c>
      <c r="ER30" t="e">
        <f>AND(#REF!,"AAAAAD73+5M=")</f>
        <v>#REF!</v>
      </c>
      <c r="ES30" t="e">
        <f>AND(#REF!,"AAAAAD73+5Q=")</f>
        <v>#REF!</v>
      </c>
      <c r="ET30" t="e">
        <f>AND(#REF!,"AAAAAD73+5U=")</f>
        <v>#REF!</v>
      </c>
      <c r="EU30" t="e">
        <f>AND(#REF!,"AAAAAD73+5Y=")</f>
        <v>#REF!</v>
      </c>
      <c r="EV30" t="e">
        <f>AND(#REF!,"AAAAAD73+5c=")</f>
        <v>#REF!</v>
      </c>
      <c r="EW30" t="e">
        <f>AND(#REF!,"AAAAAD73+5g=")</f>
        <v>#REF!</v>
      </c>
      <c r="EX30" t="e">
        <f>AND(#REF!,"AAAAAD73+5k=")</f>
        <v>#REF!</v>
      </c>
      <c r="EY30" t="e">
        <f>AND(#REF!,"AAAAAD73+5o=")</f>
        <v>#REF!</v>
      </c>
      <c r="EZ30" t="e">
        <f>IF(#REF!,"AAAAAD73+5s=",0)</f>
        <v>#REF!</v>
      </c>
      <c r="FA30" t="e">
        <f>AND(#REF!,"AAAAAD73+5w=")</f>
        <v>#REF!</v>
      </c>
      <c r="FB30" t="e">
        <f>AND(#REF!,"AAAAAD73+50=")</f>
        <v>#REF!</v>
      </c>
      <c r="FC30" t="e">
        <f>AND(#REF!,"AAAAAD73+54=")</f>
        <v>#REF!</v>
      </c>
      <c r="FD30" t="e">
        <f>AND(#REF!,"AAAAAD73+58=")</f>
        <v>#REF!</v>
      </c>
      <c r="FE30" t="e">
        <f>AND(#REF!,"AAAAAD73+6A=")</f>
        <v>#REF!</v>
      </c>
      <c r="FF30" t="e">
        <f>AND(#REF!,"AAAAAD73+6E=")</f>
        <v>#REF!</v>
      </c>
      <c r="FG30" t="e">
        <f>AND(#REF!,"AAAAAD73+6I=")</f>
        <v>#REF!</v>
      </c>
      <c r="FH30" t="e">
        <f>AND(#REF!,"AAAAAD73+6M=")</f>
        <v>#REF!</v>
      </c>
      <c r="FI30" t="e">
        <f>AND(#REF!,"AAAAAD73+6Q=")</f>
        <v>#REF!</v>
      </c>
      <c r="FJ30" t="e">
        <f>AND(#REF!,"AAAAAD73+6U=")</f>
        <v>#REF!</v>
      </c>
      <c r="FK30" t="e">
        <f>AND(#REF!,"AAAAAD73+6Y=")</f>
        <v>#REF!</v>
      </c>
      <c r="FL30" t="e">
        <f>AND(#REF!,"AAAAAD73+6c=")</f>
        <v>#REF!</v>
      </c>
      <c r="FM30" t="e">
        <f>AND(#REF!,"AAAAAD73+6g=")</f>
        <v>#REF!</v>
      </c>
      <c r="FN30" t="e">
        <f>AND(#REF!,"AAAAAD73+6k=")</f>
        <v>#REF!</v>
      </c>
      <c r="FO30" t="e">
        <f>AND(#REF!,"AAAAAD73+6o=")</f>
        <v>#REF!</v>
      </c>
      <c r="FP30" t="e">
        <f>AND(#REF!,"AAAAAD73+6s=")</f>
        <v>#REF!</v>
      </c>
      <c r="FQ30" t="e">
        <f>AND(#REF!,"AAAAAD73+6w=")</f>
        <v>#REF!</v>
      </c>
      <c r="FR30" t="e">
        <f>AND(#REF!,"AAAAAD73+60=")</f>
        <v>#REF!</v>
      </c>
      <c r="FS30" t="e">
        <f>AND(#REF!,"AAAAAD73+64=")</f>
        <v>#REF!</v>
      </c>
      <c r="FT30" t="e">
        <f>AND(#REF!,"AAAAAD73+68=")</f>
        <v>#REF!</v>
      </c>
      <c r="FU30" t="e">
        <f>AND(#REF!,"AAAAAD73+7A=")</f>
        <v>#REF!</v>
      </c>
      <c r="FV30" t="e">
        <f>AND(#REF!,"AAAAAD73+7E=")</f>
        <v>#REF!</v>
      </c>
      <c r="FW30" t="e">
        <f>AND(#REF!,"AAAAAD73+7I=")</f>
        <v>#REF!</v>
      </c>
      <c r="FX30" t="e">
        <f>AND(#REF!,"AAAAAD73+7M=")</f>
        <v>#REF!</v>
      </c>
      <c r="FY30" t="e">
        <f>AND(#REF!,"AAAAAD73+7Q=")</f>
        <v>#REF!</v>
      </c>
      <c r="FZ30" t="e">
        <f>AND(#REF!,"AAAAAD73+7U=")</f>
        <v>#REF!</v>
      </c>
      <c r="GA30" t="e">
        <f>AND(#REF!,"AAAAAD73+7Y=")</f>
        <v>#REF!</v>
      </c>
      <c r="GB30" t="e">
        <f>AND(#REF!,"AAAAAD73+7c=")</f>
        <v>#REF!</v>
      </c>
      <c r="GC30" t="e">
        <f>AND(#REF!,"AAAAAD73+7g=")</f>
        <v>#REF!</v>
      </c>
      <c r="GD30" t="e">
        <f>AND(#REF!,"AAAAAD73+7k=")</f>
        <v>#REF!</v>
      </c>
      <c r="GE30" t="e">
        <f>AND(#REF!,"AAAAAD73+7o=")</f>
        <v>#REF!</v>
      </c>
      <c r="GF30" t="e">
        <f>AND(#REF!,"AAAAAD73+7s=")</f>
        <v>#REF!</v>
      </c>
      <c r="GG30" t="e">
        <f>AND(#REF!,"AAAAAD73+7w=")</f>
        <v>#REF!</v>
      </c>
      <c r="GH30" t="e">
        <f>AND(#REF!,"AAAAAD73+70=")</f>
        <v>#REF!</v>
      </c>
      <c r="GI30" t="e">
        <f>AND(#REF!,"AAAAAD73+74=")</f>
        <v>#REF!</v>
      </c>
      <c r="GJ30" t="e">
        <f>AND(#REF!,"AAAAAD73+78=")</f>
        <v>#REF!</v>
      </c>
      <c r="GK30" t="e">
        <f>AND(#REF!,"AAAAAD73+8A=")</f>
        <v>#REF!</v>
      </c>
      <c r="GL30" t="e">
        <f>AND(#REF!,"AAAAAD73+8E=")</f>
        <v>#REF!</v>
      </c>
      <c r="GM30" t="e">
        <f>AND(#REF!,"AAAAAD73+8I=")</f>
        <v>#REF!</v>
      </c>
      <c r="GN30" t="e">
        <f>IF(#REF!,"AAAAAD73+8M=",0)</f>
        <v>#REF!</v>
      </c>
      <c r="GO30" t="e">
        <f>AND(#REF!,"AAAAAD73+8Q=")</f>
        <v>#REF!</v>
      </c>
      <c r="GP30" t="e">
        <f>AND(#REF!,"AAAAAD73+8U=")</f>
        <v>#REF!</v>
      </c>
      <c r="GQ30" t="e">
        <f>AND(#REF!,"AAAAAD73+8Y=")</f>
        <v>#REF!</v>
      </c>
      <c r="GR30" t="e">
        <f>AND(#REF!,"AAAAAD73+8c=")</f>
        <v>#REF!</v>
      </c>
      <c r="GS30" t="e">
        <f>AND(#REF!,"AAAAAD73+8g=")</f>
        <v>#REF!</v>
      </c>
      <c r="GT30" t="e">
        <f>AND(#REF!,"AAAAAD73+8k=")</f>
        <v>#REF!</v>
      </c>
      <c r="GU30" t="e">
        <f>AND(#REF!,"AAAAAD73+8o=")</f>
        <v>#REF!</v>
      </c>
      <c r="GV30" t="e">
        <f>AND(#REF!,"AAAAAD73+8s=")</f>
        <v>#REF!</v>
      </c>
      <c r="GW30" t="e">
        <f>AND(#REF!,"AAAAAD73+8w=")</f>
        <v>#REF!</v>
      </c>
      <c r="GX30" t="e">
        <f>AND(#REF!,"AAAAAD73+80=")</f>
        <v>#REF!</v>
      </c>
      <c r="GY30" t="e">
        <f>AND(#REF!,"AAAAAD73+84=")</f>
        <v>#REF!</v>
      </c>
      <c r="GZ30" t="e">
        <f>AND(#REF!,"AAAAAD73+88=")</f>
        <v>#REF!</v>
      </c>
      <c r="HA30" t="e">
        <f>AND(#REF!,"AAAAAD73+9A=")</f>
        <v>#REF!</v>
      </c>
      <c r="HB30" t="e">
        <f>AND(#REF!,"AAAAAD73+9E=")</f>
        <v>#REF!</v>
      </c>
      <c r="HC30" t="e">
        <f>AND(#REF!,"AAAAAD73+9I=")</f>
        <v>#REF!</v>
      </c>
      <c r="HD30" t="e">
        <f>AND(#REF!,"AAAAAD73+9M=")</f>
        <v>#REF!</v>
      </c>
      <c r="HE30" t="e">
        <f>AND(#REF!,"AAAAAD73+9Q=")</f>
        <v>#REF!</v>
      </c>
      <c r="HF30" t="e">
        <f>AND(#REF!,"AAAAAD73+9U=")</f>
        <v>#REF!</v>
      </c>
      <c r="HG30" t="e">
        <f>AND(#REF!,"AAAAAD73+9Y=")</f>
        <v>#REF!</v>
      </c>
      <c r="HH30" t="e">
        <f>AND(#REF!,"AAAAAD73+9c=")</f>
        <v>#REF!</v>
      </c>
      <c r="HI30" t="e">
        <f>AND(#REF!,"AAAAAD73+9g=")</f>
        <v>#REF!</v>
      </c>
      <c r="HJ30" t="e">
        <f>AND(#REF!,"AAAAAD73+9k=")</f>
        <v>#REF!</v>
      </c>
      <c r="HK30" t="e">
        <f>AND(#REF!,"AAAAAD73+9o=")</f>
        <v>#REF!</v>
      </c>
      <c r="HL30" t="e">
        <f>AND(#REF!,"AAAAAD73+9s=")</f>
        <v>#REF!</v>
      </c>
      <c r="HM30" t="e">
        <f>AND(#REF!,"AAAAAD73+9w=")</f>
        <v>#REF!</v>
      </c>
      <c r="HN30" t="e">
        <f>AND(#REF!,"AAAAAD73+90=")</f>
        <v>#REF!</v>
      </c>
      <c r="HO30" t="e">
        <f>AND(#REF!,"AAAAAD73+94=")</f>
        <v>#REF!</v>
      </c>
      <c r="HP30" t="e">
        <f>AND(#REF!,"AAAAAD73+98=")</f>
        <v>#REF!</v>
      </c>
      <c r="HQ30" t="e">
        <f>AND(#REF!,"AAAAAD73++A=")</f>
        <v>#REF!</v>
      </c>
      <c r="HR30" t="e">
        <f>AND(#REF!,"AAAAAD73++E=")</f>
        <v>#REF!</v>
      </c>
      <c r="HS30" t="e">
        <f>AND(#REF!,"AAAAAD73++I=")</f>
        <v>#REF!</v>
      </c>
      <c r="HT30" t="e">
        <f>AND(#REF!,"AAAAAD73++M=")</f>
        <v>#REF!</v>
      </c>
      <c r="HU30" t="e">
        <f>AND(#REF!,"AAAAAD73++Q=")</f>
        <v>#REF!</v>
      </c>
      <c r="HV30" t="e">
        <f>AND(#REF!,"AAAAAD73++U=")</f>
        <v>#REF!</v>
      </c>
      <c r="HW30" t="e">
        <f>AND(#REF!,"AAAAAD73++Y=")</f>
        <v>#REF!</v>
      </c>
      <c r="HX30" t="e">
        <f>AND(#REF!,"AAAAAD73++c=")</f>
        <v>#REF!</v>
      </c>
      <c r="HY30" t="e">
        <f>AND(#REF!,"AAAAAD73++g=")</f>
        <v>#REF!</v>
      </c>
      <c r="HZ30" t="e">
        <f>AND(#REF!,"AAAAAD73++k=")</f>
        <v>#REF!</v>
      </c>
      <c r="IA30" t="e">
        <f>AND(#REF!,"AAAAAD73++o=")</f>
        <v>#REF!</v>
      </c>
      <c r="IB30" t="e">
        <f>IF(#REF!,"AAAAAD73++s=",0)</f>
        <v>#REF!</v>
      </c>
      <c r="IC30" t="e">
        <f>AND(#REF!,"AAAAAD73++w=")</f>
        <v>#REF!</v>
      </c>
      <c r="ID30" t="e">
        <f>AND(#REF!,"AAAAAD73++0=")</f>
        <v>#REF!</v>
      </c>
      <c r="IE30" t="e">
        <f>AND(#REF!,"AAAAAD73++4=")</f>
        <v>#REF!</v>
      </c>
      <c r="IF30" t="e">
        <f>AND(#REF!,"AAAAAD73++8=")</f>
        <v>#REF!</v>
      </c>
      <c r="IG30" t="e">
        <f>AND(#REF!,"AAAAAD73+/A=")</f>
        <v>#REF!</v>
      </c>
      <c r="IH30" t="e">
        <f>AND(#REF!,"AAAAAD73+/E=")</f>
        <v>#REF!</v>
      </c>
      <c r="II30" t="e">
        <f>AND(#REF!,"AAAAAD73+/I=")</f>
        <v>#REF!</v>
      </c>
      <c r="IJ30" t="e">
        <f>AND(#REF!,"AAAAAD73+/M=")</f>
        <v>#REF!</v>
      </c>
      <c r="IK30" t="e">
        <f>AND(#REF!,"AAAAAD73+/Q=")</f>
        <v>#REF!</v>
      </c>
      <c r="IL30" t="e">
        <f>AND(#REF!,"AAAAAD73+/U=")</f>
        <v>#REF!</v>
      </c>
      <c r="IM30" t="e">
        <f>AND(#REF!,"AAAAAD73+/Y=")</f>
        <v>#REF!</v>
      </c>
      <c r="IN30" t="e">
        <f>AND(#REF!,"AAAAAD73+/c=")</f>
        <v>#REF!</v>
      </c>
      <c r="IO30" t="e">
        <f>AND(#REF!,"AAAAAD73+/g=")</f>
        <v>#REF!</v>
      </c>
      <c r="IP30" t="e">
        <f>AND(#REF!,"AAAAAD73+/k=")</f>
        <v>#REF!</v>
      </c>
      <c r="IQ30" t="e">
        <f>AND(#REF!,"AAAAAD73+/o=")</f>
        <v>#REF!</v>
      </c>
      <c r="IR30" t="e">
        <f>AND(#REF!,"AAAAAD73+/s=")</f>
        <v>#REF!</v>
      </c>
      <c r="IS30" t="e">
        <f>AND(#REF!,"AAAAAD73+/w=")</f>
        <v>#REF!</v>
      </c>
      <c r="IT30" t="e">
        <f>AND(#REF!,"AAAAAD73+/0=")</f>
        <v>#REF!</v>
      </c>
      <c r="IU30" t="e">
        <f>AND(#REF!,"AAAAAD73+/4=")</f>
        <v>#REF!</v>
      </c>
      <c r="IV30" t="e">
        <f>AND(#REF!,"AAAAAD73+/8=")</f>
        <v>#REF!</v>
      </c>
    </row>
    <row r="31" spans="1:256" x14ac:dyDescent="0.35">
      <c r="A31" t="e">
        <f>AND(#REF!,"AAAAAH/2fgA=")</f>
        <v>#REF!</v>
      </c>
      <c r="B31" t="e">
        <f>AND(#REF!,"AAAAAH/2fgE=")</f>
        <v>#REF!</v>
      </c>
      <c r="C31" t="e">
        <f>AND(#REF!,"AAAAAH/2fgI=")</f>
        <v>#REF!</v>
      </c>
      <c r="D31" t="e">
        <f>AND(#REF!,"AAAAAH/2fgM=")</f>
        <v>#REF!</v>
      </c>
      <c r="E31" t="e">
        <f>AND(#REF!,"AAAAAH/2fgQ=")</f>
        <v>#REF!</v>
      </c>
      <c r="F31" t="e">
        <f>AND(#REF!,"AAAAAH/2fgU=")</f>
        <v>#REF!</v>
      </c>
      <c r="G31" t="e">
        <f>AND(#REF!,"AAAAAH/2fgY=")</f>
        <v>#REF!</v>
      </c>
      <c r="H31" t="e">
        <f>AND(#REF!,"AAAAAH/2fgc=")</f>
        <v>#REF!</v>
      </c>
      <c r="I31" t="e">
        <f>AND(#REF!,"AAAAAH/2fgg=")</f>
        <v>#REF!</v>
      </c>
      <c r="J31" t="e">
        <f>AND(#REF!,"AAAAAH/2fgk=")</f>
        <v>#REF!</v>
      </c>
      <c r="K31" t="e">
        <f>AND(#REF!,"AAAAAH/2fgo=")</f>
        <v>#REF!</v>
      </c>
      <c r="L31" t="e">
        <f>AND(#REF!,"AAAAAH/2fgs=")</f>
        <v>#REF!</v>
      </c>
      <c r="M31" t="e">
        <f>AND(#REF!,"AAAAAH/2fgw=")</f>
        <v>#REF!</v>
      </c>
      <c r="N31" t="e">
        <f>AND(#REF!,"AAAAAH/2fg0=")</f>
        <v>#REF!</v>
      </c>
      <c r="O31" t="e">
        <f>AND(#REF!,"AAAAAH/2fg4=")</f>
        <v>#REF!</v>
      </c>
      <c r="P31" t="e">
        <f>AND(#REF!,"AAAAAH/2fg8=")</f>
        <v>#REF!</v>
      </c>
      <c r="Q31" t="e">
        <f>AND(#REF!,"AAAAAH/2fhA=")</f>
        <v>#REF!</v>
      </c>
      <c r="R31" t="e">
        <f>AND(#REF!,"AAAAAH/2fhE=")</f>
        <v>#REF!</v>
      </c>
      <c r="S31" t="e">
        <f>AND(#REF!,"AAAAAH/2fhI=")</f>
        <v>#REF!</v>
      </c>
      <c r="T31" t="e">
        <f>IF(#REF!,"AAAAAH/2fhM=",0)</f>
        <v>#REF!</v>
      </c>
      <c r="U31" t="e">
        <f>AND(#REF!,"AAAAAH/2fhQ=")</f>
        <v>#REF!</v>
      </c>
      <c r="V31" t="e">
        <f>AND(#REF!,"AAAAAH/2fhU=")</f>
        <v>#REF!</v>
      </c>
      <c r="W31" t="e">
        <f>AND(#REF!,"AAAAAH/2fhY=")</f>
        <v>#REF!</v>
      </c>
      <c r="X31" t="e">
        <f>AND(#REF!,"AAAAAH/2fhc=")</f>
        <v>#REF!</v>
      </c>
      <c r="Y31" t="e">
        <f>AND(#REF!,"AAAAAH/2fhg=")</f>
        <v>#REF!</v>
      </c>
      <c r="Z31" t="e">
        <f>AND(#REF!,"AAAAAH/2fhk=")</f>
        <v>#REF!</v>
      </c>
      <c r="AA31" t="e">
        <f>AND(#REF!,"AAAAAH/2fho=")</f>
        <v>#REF!</v>
      </c>
      <c r="AB31" t="e">
        <f>AND(#REF!,"AAAAAH/2fhs=")</f>
        <v>#REF!</v>
      </c>
      <c r="AC31" t="e">
        <f>AND(#REF!,"AAAAAH/2fhw=")</f>
        <v>#REF!</v>
      </c>
      <c r="AD31" t="e">
        <f>AND(#REF!,"AAAAAH/2fh0=")</f>
        <v>#REF!</v>
      </c>
      <c r="AE31" t="e">
        <f>AND(#REF!,"AAAAAH/2fh4=")</f>
        <v>#REF!</v>
      </c>
      <c r="AF31" t="e">
        <f>AND(#REF!,"AAAAAH/2fh8=")</f>
        <v>#REF!</v>
      </c>
      <c r="AG31" t="e">
        <f>AND(#REF!,"AAAAAH/2fiA=")</f>
        <v>#REF!</v>
      </c>
      <c r="AH31" t="e">
        <f>AND(#REF!,"AAAAAH/2fiE=")</f>
        <v>#REF!</v>
      </c>
      <c r="AI31" t="e">
        <f>AND(#REF!,"AAAAAH/2fiI=")</f>
        <v>#REF!</v>
      </c>
      <c r="AJ31" t="e">
        <f>AND(#REF!,"AAAAAH/2fiM=")</f>
        <v>#REF!</v>
      </c>
      <c r="AK31" t="e">
        <f>AND(#REF!,"AAAAAH/2fiQ=")</f>
        <v>#REF!</v>
      </c>
      <c r="AL31" t="e">
        <f>AND(#REF!,"AAAAAH/2fiU=")</f>
        <v>#REF!</v>
      </c>
      <c r="AM31" t="e">
        <f>AND(#REF!,"AAAAAH/2fiY=")</f>
        <v>#REF!</v>
      </c>
      <c r="AN31" t="e">
        <f>AND(#REF!,"AAAAAH/2fic=")</f>
        <v>#REF!</v>
      </c>
      <c r="AO31" t="e">
        <f>AND(#REF!,"AAAAAH/2fig=")</f>
        <v>#REF!</v>
      </c>
      <c r="AP31" t="e">
        <f>AND(#REF!,"AAAAAH/2fik=")</f>
        <v>#REF!</v>
      </c>
      <c r="AQ31" t="e">
        <f>AND(#REF!,"AAAAAH/2fio=")</f>
        <v>#REF!</v>
      </c>
      <c r="AR31" t="e">
        <f>AND(#REF!,"AAAAAH/2fis=")</f>
        <v>#REF!</v>
      </c>
      <c r="AS31" t="e">
        <f>AND(#REF!,"AAAAAH/2fiw=")</f>
        <v>#REF!</v>
      </c>
      <c r="AT31" t="e">
        <f>AND(#REF!,"AAAAAH/2fi0=")</f>
        <v>#REF!</v>
      </c>
      <c r="AU31" t="e">
        <f>AND(#REF!,"AAAAAH/2fi4=")</f>
        <v>#REF!</v>
      </c>
      <c r="AV31" t="e">
        <f>AND(#REF!,"AAAAAH/2fi8=")</f>
        <v>#REF!</v>
      </c>
      <c r="AW31" t="e">
        <f>AND(#REF!,"AAAAAH/2fjA=")</f>
        <v>#REF!</v>
      </c>
      <c r="AX31" t="e">
        <f>AND(#REF!,"AAAAAH/2fjE=")</f>
        <v>#REF!</v>
      </c>
      <c r="AY31" t="e">
        <f>AND(#REF!,"AAAAAH/2fjI=")</f>
        <v>#REF!</v>
      </c>
      <c r="AZ31" t="e">
        <f>AND(#REF!,"AAAAAH/2fjM=")</f>
        <v>#REF!</v>
      </c>
      <c r="BA31" t="e">
        <f>AND(#REF!,"AAAAAH/2fjQ=")</f>
        <v>#REF!</v>
      </c>
      <c r="BB31" t="e">
        <f>AND(#REF!,"AAAAAH/2fjU=")</f>
        <v>#REF!</v>
      </c>
      <c r="BC31" t="e">
        <f>AND(#REF!,"AAAAAH/2fjY=")</f>
        <v>#REF!</v>
      </c>
      <c r="BD31" t="e">
        <f>AND(#REF!,"AAAAAH/2fjc=")</f>
        <v>#REF!</v>
      </c>
      <c r="BE31" t="e">
        <f>AND(#REF!,"AAAAAH/2fjg=")</f>
        <v>#REF!</v>
      </c>
      <c r="BF31" t="e">
        <f>AND(#REF!,"AAAAAH/2fjk=")</f>
        <v>#REF!</v>
      </c>
      <c r="BG31" t="e">
        <f>AND(#REF!,"AAAAAH/2fjo=")</f>
        <v>#REF!</v>
      </c>
      <c r="BH31" t="e">
        <f>IF(#REF!,"AAAAAH/2fjs=",0)</f>
        <v>#REF!</v>
      </c>
      <c r="BI31" t="e">
        <f>AND(#REF!,"AAAAAH/2fjw=")</f>
        <v>#REF!</v>
      </c>
      <c r="BJ31" t="e">
        <f>AND(#REF!,"AAAAAH/2fj0=")</f>
        <v>#REF!</v>
      </c>
      <c r="BK31" t="e">
        <f>AND(#REF!,"AAAAAH/2fj4=")</f>
        <v>#REF!</v>
      </c>
      <c r="BL31" t="e">
        <f>AND(#REF!,"AAAAAH/2fj8=")</f>
        <v>#REF!</v>
      </c>
      <c r="BM31" t="e">
        <f>AND(#REF!,"AAAAAH/2fkA=")</f>
        <v>#REF!</v>
      </c>
      <c r="BN31" t="e">
        <f>AND(#REF!,"AAAAAH/2fkE=")</f>
        <v>#REF!</v>
      </c>
      <c r="BO31" t="e">
        <f>AND(#REF!,"AAAAAH/2fkI=")</f>
        <v>#REF!</v>
      </c>
      <c r="BP31" t="e">
        <f>AND(#REF!,"AAAAAH/2fkM=")</f>
        <v>#REF!</v>
      </c>
      <c r="BQ31" t="e">
        <f>AND(#REF!,"AAAAAH/2fkQ=")</f>
        <v>#REF!</v>
      </c>
      <c r="BR31" t="e">
        <f>AND(#REF!,"AAAAAH/2fkU=")</f>
        <v>#REF!</v>
      </c>
      <c r="BS31" t="e">
        <f>AND(#REF!,"AAAAAH/2fkY=")</f>
        <v>#REF!</v>
      </c>
      <c r="BT31" t="e">
        <f>AND(#REF!,"AAAAAH/2fkc=")</f>
        <v>#REF!</v>
      </c>
      <c r="BU31" t="e">
        <f>AND(#REF!,"AAAAAH/2fkg=")</f>
        <v>#REF!</v>
      </c>
      <c r="BV31" t="e">
        <f>AND(#REF!,"AAAAAH/2fkk=")</f>
        <v>#REF!</v>
      </c>
      <c r="BW31" t="e">
        <f>AND(#REF!,"AAAAAH/2fko=")</f>
        <v>#REF!</v>
      </c>
      <c r="BX31" t="e">
        <f>AND(#REF!,"AAAAAH/2fks=")</f>
        <v>#REF!</v>
      </c>
      <c r="BY31" t="e">
        <f>AND(#REF!,"AAAAAH/2fkw=")</f>
        <v>#REF!</v>
      </c>
      <c r="BZ31" t="e">
        <f>AND(#REF!,"AAAAAH/2fk0=")</f>
        <v>#REF!</v>
      </c>
      <c r="CA31" t="e">
        <f>AND(#REF!,"AAAAAH/2fk4=")</f>
        <v>#REF!</v>
      </c>
      <c r="CB31" t="e">
        <f>AND(#REF!,"AAAAAH/2fk8=")</f>
        <v>#REF!</v>
      </c>
      <c r="CC31" t="e">
        <f>AND(#REF!,"AAAAAH/2flA=")</f>
        <v>#REF!</v>
      </c>
      <c r="CD31" t="e">
        <f>AND(#REF!,"AAAAAH/2flE=")</f>
        <v>#REF!</v>
      </c>
      <c r="CE31" t="e">
        <f>AND(#REF!,"AAAAAH/2flI=")</f>
        <v>#REF!</v>
      </c>
      <c r="CF31" t="e">
        <f>AND(#REF!,"AAAAAH/2flM=")</f>
        <v>#REF!</v>
      </c>
      <c r="CG31" t="e">
        <f>AND(#REF!,"AAAAAH/2flQ=")</f>
        <v>#REF!</v>
      </c>
      <c r="CH31" t="e">
        <f>AND(#REF!,"AAAAAH/2flU=")</f>
        <v>#REF!</v>
      </c>
      <c r="CI31" t="e">
        <f>AND(#REF!,"AAAAAH/2flY=")</f>
        <v>#REF!</v>
      </c>
      <c r="CJ31" t="e">
        <f>AND(#REF!,"AAAAAH/2flc=")</f>
        <v>#REF!</v>
      </c>
      <c r="CK31" t="e">
        <f>AND(#REF!,"AAAAAH/2flg=")</f>
        <v>#REF!</v>
      </c>
      <c r="CL31" t="e">
        <f>AND(#REF!,"AAAAAH/2flk=")</f>
        <v>#REF!</v>
      </c>
      <c r="CM31" t="e">
        <f>AND(#REF!,"AAAAAH/2flo=")</f>
        <v>#REF!</v>
      </c>
      <c r="CN31" t="e">
        <f>AND(#REF!,"AAAAAH/2fls=")</f>
        <v>#REF!</v>
      </c>
      <c r="CO31" t="e">
        <f>AND(#REF!,"AAAAAH/2flw=")</f>
        <v>#REF!</v>
      </c>
      <c r="CP31" t="e">
        <f>AND(#REF!,"AAAAAH/2fl0=")</f>
        <v>#REF!</v>
      </c>
      <c r="CQ31" t="e">
        <f>AND(#REF!,"AAAAAH/2fl4=")</f>
        <v>#REF!</v>
      </c>
      <c r="CR31" t="e">
        <f>AND(#REF!,"AAAAAH/2fl8=")</f>
        <v>#REF!</v>
      </c>
      <c r="CS31" t="e">
        <f>AND(#REF!,"AAAAAH/2fmA=")</f>
        <v>#REF!</v>
      </c>
      <c r="CT31" t="e">
        <f>AND(#REF!,"AAAAAH/2fmE=")</f>
        <v>#REF!</v>
      </c>
      <c r="CU31" t="e">
        <f>AND(#REF!,"AAAAAH/2fmI=")</f>
        <v>#REF!</v>
      </c>
      <c r="CV31" t="e">
        <f>IF(#REF!,"AAAAAH/2fmM=",0)</f>
        <v>#REF!</v>
      </c>
      <c r="CW31" t="e">
        <f>AND(#REF!,"AAAAAH/2fmQ=")</f>
        <v>#REF!</v>
      </c>
      <c r="CX31" t="e">
        <f>AND(#REF!,"AAAAAH/2fmU=")</f>
        <v>#REF!</v>
      </c>
      <c r="CY31" t="e">
        <f>AND(#REF!,"AAAAAH/2fmY=")</f>
        <v>#REF!</v>
      </c>
      <c r="CZ31" t="e">
        <f>AND(#REF!,"AAAAAH/2fmc=")</f>
        <v>#REF!</v>
      </c>
      <c r="DA31" t="e">
        <f>AND(#REF!,"AAAAAH/2fmg=")</f>
        <v>#REF!</v>
      </c>
      <c r="DB31" t="e">
        <f>AND(#REF!,"AAAAAH/2fmk=")</f>
        <v>#REF!</v>
      </c>
      <c r="DC31" t="e">
        <f>AND(#REF!,"AAAAAH/2fmo=")</f>
        <v>#REF!</v>
      </c>
      <c r="DD31" t="e">
        <f>AND(#REF!,"AAAAAH/2fms=")</f>
        <v>#REF!</v>
      </c>
      <c r="DE31" t="e">
        <f>AND(#REF!,"AAAAAH/2fmw=")</f>
        <v>#REF!</v>
      </c>
      <c r="DF31" t="e">
        <f>AND(#REF!,"AAAAAH/2fm0=")</f>
        <v>#REF!</v>
      </c>
      <c r="DG31" t="e">
        <f>AND(#REF!,"AAAAAH/2fm4=")</f>
        <v>#REF!</v>
      </c>
      <c r="DH31" t="e">
        <f>AND(#REF!,"AAAAAH/2fm8=")</f>
        <v>#REF!</v>
      </c>
      <c r="DI31" t="e">
        <f>AND(#REF!,"AAAAAH/2fnA=")</f>
        <v>#REF!</v>
      </c>
      <c r="DJ31" t="e">
        <f>AND(#REF!,"AAAAAH/2fnE=")</f>
        <v>#REF!</v>
      </c>
      <c r="DK31" t="e">
        <f>AND(#REF!,"AAAAAH/2fnI=")</f>
        <v>#REF!</v>
      </c>
      <c r="DL31" t="e">
        <f>AND(#REF!,"AAAAAH/2fnM=")</f>
        <v>#REF!</v>
      </c>
      <c r="DM31" t="e">
        <f>AND(#REF!,"AAAAAH/2fnQ=")</f>
        <v>#REF!</v>
      </c>
      <c r="DN31" t="e">
        <f>AND(#REF!,"AAAAAH/2fnU=")</f>
        <v>#REF!</v>
      </c>
      <c r="DO31" t="e">
        <f>AND(#REF!,"AAAAAH/2fnY=")</f>
        <v>#REF!</v>
      </c>
      <c r="DP31" t="e">
        <f>AND(#REF!,"AAAAAH/2fnc=")</f>
        <v>#REF!</v>
      </c>
      <c r="DQ31" t="e">
        <f>AND(#REF!,"AAAAAH/2fng=")</f>
        <v>#REF!</v>
      </c>
      <c r="DR31" t="e">
        <f>AND(#REF!,"AAAAAH/2fnk=")</f>
        <v>#REF!</v>
      </c>
      <c r="DS31" t="e">
        <f>AND(#REF!,"AAAAAH/2fno=")</f>
        <v>#REF!</v>
      </c>
      <c r="DT31" t="e">
        <f>AND(#REF!,"AAAAAH/2fns=")</f>
        <v>#REF!</v>
      </c>
      <c r="DU31" t="e">
        <f>AND(#REF!,"AAAAAH/2fnw=")</f>
        <v>#REF!</v>
      </c>
      <c r="DV31" t="e">
        <f>AND(#REF!,"AAAAAH/2fn0=")</f>
        <v>#REF!</v>
      </c>
      <c r="DW31" t="e">
        <f>AND(#REF!,"AAAAAH/2fn4=")</f>
        <v>#REF!</v>
      </c>
      <c r="DX31" t="e">
        <f>AND(#REF!,"AAAAAH/2fn8=")</f>
        <v>#REF!</v>
      </c>
      <c r="DY31" t="e">
        <f>AND(#REF!,"AAAAAH/2foA=")</f>
        <v>#REF!</v>
      </c>
      <c r="DZ31" t="e">
        <f>AND(#REF!,"AAAAAH/2foE=")</f>
        <v>#REF!</v>
      </c>
      <c r="EA31" t="e">
        <f>AND(#REF!,"AAAAAH/2foI=")</f>
        <v>#REF!</v>
      </c>
      <c r="EB31" t="e">
        <f>AND(#REF!,"AAAAAH/2foM=")</f>
        <v>#REF!</v>
      </c>
      <c r="EC31" t="e">
        <f>AND(#REF!,"AAAAAH/2foQ=")</f>
        <v>#REF!</v>
      </c>
      <c r="ED31" t="e">
        <f>AND(#REF!,"AAAAAH/2foU=")</f>
        <v>#REF!</v>
      </c>
      <c r="EE31" t="e">
        <f>AND(#REF!,"AAAAAH/2foY=")</f>
        <v>#REF!</v>
      </c>
      <c r="EF31" t="e">
        <f>AND(#REF!,"AAAAAH/2foc=")</f>
        <v>#REF!</v>
      </c>
      <c r="EG31" t="e">
        <f>AND(#REF!,"AAAAAH/2fog=")</f>
        <v>#REF!</v>
      </c>
      <c r="EH31" t="e">
        <f>AND(#REF!,"AAAAAH/2fok=")</f>
        <v>#REF!</v>
      </c>
      <c r="EI31" t="e">
        <f>AND(#REF!,"AAAAAH/2foo=")</f>
        <v>#REF!</v>
      </c>
      <c r="EJ31" t="e">
        <f>IF(#REF!,"AAAAAH/2fos=",0)</f>
        <v>#REF!</v>
      </c>
      <c r="EK31" t="e">
        <f>AND(#REF!,"AAAAAH/2fow=")</f>
        <v>#REF!</v>
      </c>
      <c r="EL31" t="e">
        <f>AND(#REF!,"AAAAAH/2fo0=")</f>
        <v>#REF!</v>
      </c>
      <c r="EM31" t="e">
        <f>AND(#REF!,"AAAAAH/2fo4=")</f>
        <v>#REF!</v>
      </c>
      <c r="EN31" t="e">
        <f>AND(#REF!,"AAAAAH/2fo8=")</f>
        <v>#REF!</v>
      </c>
      <c r="EO31" t="e">
        <f>AND(#REF!,"AAAAAH/2fpA=")</f>
        <v>#REF!</v>
      </c>
      <c r="EP31" t="e">
        <f>AND(#REF!,"AAAAAH/2fpE=")</f>
        <v>#REF!</v>
      </c>
      <c r="EQ31" t="e">
        <f>AND(#REF!,"AAAAAH/2fpI=")</f>
        <v>#REF!</v>
      </c>
      <c r="ER31" t="e">
        <f>AND(#REF!,"AAAAAH/2fpM=")</f>
        <v>#REF!</v>
      </c>
      <c r="ES31" t="e">
        <f>AND(#REF!,"AAAAAH/2fpQ=")</f>
        <v>#REF!</v>
      </c>
      <c r="ET31" t="e">
        <f>AND(#REF!,"AAAAAH/2fpU=")</f>
        <v>#REF!</v>
      </c>
      <c r="EU31" t="e">
        <f>AND(#REF!,"AAAAAH/2fpY=")</f>
        <v>#REF!</v>
      </c>
      <c r="EV31" t="e">
        <f>AND(#REF!,"AAAAAH/2fpc=")</f>
        <v>#REF!</v>
      </c>
      <c r="EW31" t="e">
        <f>AND(#REF!,"AAAAAH/2fpg=")</f>
        <v>#REF!</v>
      </c>
      <c r="EX31" t="e">
        <f>AND(#REF!,"AAAAAH/2fpk=")</f>
        <v>#REF!</v>
      </c>
      <c r="EY31" t="e">
        <f>AND(#REF!,"AAAAAH/2fpo=")</f>
        <v>#REF!</v>
      </c>
      <c r="EZ31" t="e">
        <f>AND(#REF!,"AAAAAH/2fps=")</f>
        <v>#REF!</v>
      </c>
      <c r="FA31" t="e">
        <f>AND(#REF!,"AAAAAH/2fpw=")</f>
        <v>#REF!</v>
      </c>
      <c r="FB31" t="e">
        <f>AND(#REF!,"AAAAAH/2fp0=")</f>
        <v>#REF!</v>
      </c>
      <c r="FC31" t="e">
        <f>AND(#REF!,"AAAAAH/2fp4=")</f>
        <v>#REF!</v>
      </c>
      <c r="FD31" t="e">
        <f>AND(#REF!,"AAAAAH/2fp8=")</f>
        <v>#REF!</v>
      </c>
      <c r="FE31" t="e">
        <f>AND(#REF!,"AAAAAH/2fqA=")</f>
        <v>#REF!</v>
      </c>
      <c r="FF31" t="e">
        <f>AND(#REF!,"AAAAAH/2fqE=")</f>
        <v>#REF!</v>
      </c>
      <c r="FG31" t="e">
        <f>AND(#REF!,"AAAAAH/2fqI=")</f>
        <v>#REF!</v>
      </c>
      <c r="FH31" t="e">
        <f>AND(#REF!,"AAAAAH/2fqM=")</f>
        <v>#REF!</v>
      </c>
      <c r="FI31" t="e">
        <f>AND(#REF!,"AAAAAH/2fqQ=")</f>
        <v>#REF!</v>
      </c>
      <c r="FJ31" t="e">
        <f>AND(#REF!,"AAAAAH/2fqU=")</f>
        <v>#REF!</v>
      </c>
      <c r="FK31" t="e">
        <f>AND(#REF!,"AAAAAH/2fqY=")</f>
        <v>#REF!</v>
      </c>
      <c r="FL31" t="e">
        <f>AND(#REF!,"AAAAAH/2fqc=")</f>
        <v>#REF!</v>
      </c>
      <c r="FM31" t="e">
        <f>AND(#REF!,"AAAAAH/2fqg=")</f>
        <v>#REF!</v>
      </c>
      <c r="FN31" t="e">
        <f>AND(#REF!,"AAAAAH/2fqk=")</f>
        <v>#REF!</v>
      </c>
      <c r="FO31" t="e">
        <f>AND(#REF!,"AAAAAH/2fqo=")</f>
        <v>#REF!</v>
      </c>
      <c r="FP31" t="e">
        <f>AND(#REF!,"AAAAAH/2fqs=")</f>
        <v>#REF!</v>
      </c>
      <c r="FQ31" t="e">
        <f>AND(#REF!,"AAAAAH/2fqw=")</f>
        <v>#REF!</v>
      </c>
      <c r="FR31" t="e">
        <f>AND(#REF!,"AAAAAH/2fq0=")</f>
        <v>#REF!</v>
      </c>
      <c r="FS31" t="e">
        <f>AND(#REF!,"AAAAAH/2fq4=")</f>
        <v>#REF!</v>
      </c>
      <c r="FT31" t="e">
        <f>AND(#REF!,"AAAAAH/2fq8=")</f>
        <v>#REF!</v>
      </c>
      <c r="FU31" t="e">
        <f>AND(#REF!,"AAAAAH/2frA=")</f>
        <v>#REF!</v>
      </c>
      <c r="FV31" t="e">
        <f>AND(#REF!,"AAAAAH/2frE=")</f>
        <v>#REF!</v>
      </c>
      <c r="FW31" t="e">
        <f>AND(#REF!,"AAAAAH/2frI=")</f>
        <v>#REF!</v>
      </c>
      <c r="FX31" t="e">
        <f>IF(#REF!,"AAAAAH/2frM=",0)</f>
        <v>#REF!</v>
      </c>
      <c r="FY31" t="e">
        <f>AND(#REF!,"AAAAAH/2frQ=")</f>
        <v>#REF!</v>
      </c>
      <c r="FZ31" t="e">
        <f>AND(#REF!,"AAAAAH/2frU=")</f>
        <v>#REF!</v>
      </c>
      <c r="GA31" t="e">
        <f>AND(#REF!,"AAAAAH/2frY=")</f>
        <v>#REF!</v>
      </c>
      <c r="GB31" t="e">
        <f>AND(#REF!,"AAAAAH/2frc=")</f>
        <v>#REF!</v>
      </c>
      <c r="GC31" t="e">
        <f>AND(#REF!,"AAAAAH/2frg=")</f>
        <v>#REF!</v>
      </c>
      <c r="GD31" t="e">
        <f>AND(#REF!,"AAAAAH/2frk=")</f>
        <v>#REF!</v>
      </c>
      <c r="GE31" t="e">
        <f>AND(#REF!,"AAAAAH/2fro=")</f>
        <v>#REF!</v>
      </c>
      <c r="GF31" t="e">
        <f>AND(#REF!,"AAAAAH/2frs=")</f>
        <v>#REF!</v>
      </c>
      <c r="GG31" t="e">
        <f>AND(#REF!,"AAAAAH/2frw=")</f>
        <v>#REF!</v>
      </c>
      <c r="GH31" t="e">
        <f>AND(#REF!,"AAAAAH/2fr0=")</f>
        <v>#REF!</v>
      </c>
      <c r="GI31" t="e">
        <f>AND(#REF!,"AAAAAH/2fr4=")</f>
        <v>#REF!</v>
      </c>
      <c r="GJ31" t="e">
        <f>AND(#REF!,"AAAAAH/2fr8=")</f>
        <v>#REF!</v>
      </c>
      <c r="GK31" t="e">
        <f>AND(#REF!,"AAAAAH/2fsA=")</f>
        <v>#REF!</v>
      </c>
      <c r="GL31" t="e">
        <f>AND(#REF!,"AAAAAH/2fsE=")</f>
        <v>#REF!</v>
      </c>
      <c r="GM31" t="e">
        <f>AND(#REF!,"AAAAAH/2fsI=")</f>
        <v>#REF!</v>
      </c>
      <c r="GN31" t="e">
        <f>AND(#REF!,"AAAAAH/2fsM=")</f>
        <v>#REF!</v>
      </c>
      <c r="GO31" t="e">
        <f>AND(#REF!,"AAAAAH/2fsQ=")</f>
        <v>#REF!</v>
      </c>
      <c r="GP31" t="e">
        <f>AND(#REF!,"AAAAAH/2fsU=")</f>
        <v>#REF!</v>
      </c>
      <c r="GQ31" t="e">
        <f>AND(#REF!,"AAAAAH/2fsY=")</f>
        <v>#REF!</v>
      </c>
      <c r="GR31" t="e">
        <f>AND(#REF!,"AAAAAH/2fsc=")</f>
        <v>#REF!</v>
      </c>
      <c r="GS31" t="e">
        <f>AND(#REF!,"AAAAAH/2fsg=")</f>
        <v>#REF!</v>
      </c>
      <c r="GT31" t="e">
        <f>AND(#REF!,"AAAAAH/2fsk=")</f>
        <v>#REF!</v>
      </c>
      <c r="GU31" t="e">
        <f>AND(#REF!,"AAAAAH/2fso=")</f>
        <v>#REF!</v>
      </c>
      <c r="GV31" t="e">
        <f>AND(#REF!,"AAAAAH/2fss=")</f>
        <v>#REF!</v>
      </c>
      <c r="GW31" t="e">
        <f>AND(#REF!,"AAAAAH/2fsw=")</f>
        <v>#REF!</v>
      </c>
      <c r="GX31" t="e">
        <f>AND(#REF!,"AAAAAH/2fs0=")</f>
        <v>#REF!</v>
      </c>
      <c r="GY31" t="e">
        <f>AND(#REF!,"AAAAAH/2fs4=")</f>
        <v>#REF!</v>
      </c>
      <c r="GZ31" t="e">
        <f>AND(#REF!,"AAAAAH/2fs8=")</f>
        <v>#REF!</v>
      </c>
      <c r="HA31" t="e">
        <f>AND(#REF!,"AAAAAH/2ftA=")</f>
        <v>#REF!</v>
      </c>
      <c r="HB31" t="e">
        <f>AND(#REF!,"AAAAAH/2ftE=")</f>
        <v>#REF!</v>
      </c>
      <c r="HC31" t="e">
        <f>AND(#REF!,"AAAAAH/2ftI=")</f>
        <v>#REF!</v>
      </c>
      <c r="HD31" t="e">
        <f>AND(#REF!,"AAAAAH/2ftM=")</f>
        <v>#REF!</v>
      </c>
      <c r="HE31" t="e">
        <f>AND(#REF!,"AAAAAH/2ftQ=")</f>
        <v>#REF!</v>
      </c>
      <c r="HF31" t="e">
        <f>AND(#REF!,"AAAAAH/2ftU=")</f>
        <v>#REF!</v>
      </c>
      <c r="HG31" t="e">
        <f>AND(#REF!,"AAAAAH/2ftY=")</f>
        <v>#REF!</v>
      </c>
      <c r="HH31" t="e">
        <f>AND(#REF!,"AAAAAH/2ftc=")</f>
        <v>#REF!</v>
      </c>
      <c r="HI31" t="e">
        <f>AND(#REF!,"AAAAAH/2ftg=")</f>
        <v>#REF!</v>
      </c>
      <c r="HJ31" t="e">
        <f>AND(#REF!,"AAAAAH/2ftk=")</f>
        <v>#REF!</v>
      </c>
      <c r="HK31" t="e">
        <f>AND(#REF!,"AAAAAH/2fto=")</f>
        <v>#REF!</v>
      </c>
      <c r="HL31" t="e">
        <f>IF(#REF!,"AAAAAH/2fts=",0)</f>
        <v>#REF!</v>
      </c>
      <c r="HM31" t="e">
        <f>AND(#REF!,"AAAAAH/2ftw=")</f>
        <v>#REF!</v>
      </c>
      <c r="HN31" t="e">
        <f>AND(#REF!,"AAAAAH/2ft0=")</f>
        <v>#REF!</v>
      </c>
      <c r="HO31" t="e">
        <f>AND(#REF!,"AAAAAH/2ft4=")</f>
        <v>#REF!</v>
      </c>
      <c r="HP31" t="e">
        <f>AND(#REF!,"AAAAAH/2ft8=")</f>
        <v>#REF!</v>
      </c>
      <c r="HQ31" t="e">
        <f>AND(#REF!,"AAAAAH/2fuA=")</f>
        <v>#REF!</v>
      </c>
      <c r="HR31" t="e">
        <f>AND(#REF!,"AAAAAH/2fuE=")</f>
        <v>#REF!</v>
      </c>
      <c r="HS31" t="e">
        <f>AND(#REF!,"AAAAAH/2fuI=")</f>
        <v>#REF!</v>
      </c>
      <c r="HT31" t="e">
        <f>AND(#REF!,"AAAAAH/2fuM=")</f>
        <v>#REF!</v>
      </c>
      <c r="HU31" t="e">
        <f>AND(#REF!,"AAAAAH/2fuQ=")</f>
        <v>#REF!</v>
      </c>
      <c r="HV31" t="e">
        <f>AND(#REF!,"AAAAAH/2fuU=")</f>
        <v>#REF!</v>
      </c>
      <c r="HW31" t="e">
        <f>AND(#REF!,"AAAAAH/2fuY=")</f>
        <v>#REF!</v>
      </c>
      <c r="HX31" t="e">
        <f>AND(#REF!,"AAAAAH/2fuc=")</f>
        <v>#REF!</v>
      </c>
      <c r="HY31" t="e">
        <f>AND(#REF!,"AAAAAH/2fug=")</f>
        <v>#REF!</v>
      </c>
      <c r="HZ31" t="e">
        <f>AND(#REF!,"AAAAAH/2fuk=")</f>
        <v>#REF!</v>
      </c>
      <c r="IA31" t="e">
        <f>AND(#REF!,"AAAAAH/2fuo=")</f>
        <v>#REF!</v>
      </c>
      <c r="IB31" t="e">
        <f>AND(#REF!,"AAAAAH/2fus=")</f>
        <v>#REF!</v>
      </c>
      <c r="IC31" t="e">
        <f>AND(#REF!,"AAAAAH/2fuw=")</f>
        <v>#REF!</v>
      </c>
      <c r="ID31" t="e">
        <f>AND(#REF!,"AAAAAH/2fu0=")</f>
        <v>#REF!</v>
      </c>
      <c r="IE31" t="e">
        <f>AND(#REF!,"AAAAAH/2fu4=")</f>
        <v>#REF!</v>
      </c>
      <c r="IF31" t="e">
        <f>AND(#REF!,"AAAAAH/2fu8=")</f>
        <v>#REF!</v>
      </c>
      <c r="IG31" t="e">
        <f>AND(#REF!,"AAAAAH/2fvA=")</f>
        <v>#REF!</v>
      </c>
      <c r="IH31" t="e">
        <f>AND(#REF!,"AAAAAH/2fvE=")</f>
        <v>#REF!</v>
      </c>
      <c r="II31" t="e">
        <f>AND(#REF!,"AAAAAH/2fvI=")</f>
        <v>#REF!</v>
      </c>
      <c r="IJ31" t="e">
        <f>AND(#REF!,"AAAAAH/2fvM=")</f>
        <v>#REF!</v>
      </c>
      <c r="IK31" t="e">
        <f>AND(#REF!,"AAAAAH/2fvQ=")</f>
        <v>#REF!</v>
      </c>
      <c r="IL31" t="e">
        <f>AND(#REF!,"AAAAAH/2fvU=")</f>
        <v>#REF!</v>
      </c>
      <c r="IM31" t="e">
        <f>AND(#REF!,"AAAAAH/2fvY=")</f>
        <v>#REF!</v>
      </c>
      <c r="IN31" t="e">
        <f>AND(#REF!,"AAAAAH/2fvc=")</f>
        <v>#REF!</v>
      </c>
      <c r="IO31" t="e">
        <f>AND(#REF!,"AAAAAH/2fvg=")</f>
        <v>#REF!</v>
      </c>
      <c r="IP31" t="e">
        <f>AND(#REF!,"AAAAAH/2fvk=")</f>
        <v>#REF!</v>
      </c>
      <c r="IQ31" t="e">
        <f>AND(#REF!,"AAAAAH/2fvo=")</f>
        <v>#REF!</v>
      </c>
      <c r="IR31" t="e">
        <f>AND(#REF!,"AAAAAH/2fvs=")</f>
        <v>#REF!</v>
      </c>
      <c r="IS31" t="e">
        <f>AND(#REF!,"AAAAAH/2fvw=")</f>
        <v>#REF!</v>
      </c>
      <c r="IT31" t="e">
        <f>AND(#REF!,"AAAAAH/2fv0=")</f>
        <v>#REF!</v>
      </c>
      <c r="IU31" t="e">
        <f>AND(#REF!,"AAAAAH/2fv4=")</f>
        <v>#REF!</v>
      </c>
      <c r="IV31" t="e">
        <f>AND(#REF!,"AAAAAH/2fv8=")</f>
        <v>#REF!</v>
      </c>
    </row>
    <row r="32" spans="1:256" x14ac:dyDescent="0.35">
      <c r="A32" t="e">
        <f>AND(#REF!,"AAAAAFvP/gA=")</f>
        <v>#REF!</v>
      </c>
      <c r="B32" t="e">
        <f>AND(#REF!,"AAAAAFvP/gE=")</f>
        <v>#REF!</v>
      </c>
      <c r="C32" t="e">
        <f>AND(#REF!,"AAAAAFvP/gI=")</f>
        <v>#REF!</v>
      </c>
      <c r="D32" t="e">
        <f>IF(#REF!,"AAAAAFvP/gM=",0)</f>
        <v>#REF!</v>
      </c>
      <c r="E32" t="e">
        <f>AND(#REF!,"AAAAAFvP/gQ=")</f>
        <v>#REF!</v>
      </c>
      <c r="F32" t="e">
        <f>AND(#REF!,"AAAAAFvP/gU=")</f>
        <v>#REF!</v>
      </c>
      <c r="G32" t="e">
        <f>AND(#REF!,"AAAAAFvP/gY=")</f>
        <v>#REF!</v>
      </c>
      <c r="H32" t="e">
        <f>AND(#REF!,"AAAAAFvP/gc=")</f>
        <v>#REF!</v>
      </c>
      <c r="I32" t="e">
        <f>AND(#REF!,"AAAAAFvP/gg=")</f>
        <v>#REF!</v>
      </c>
      <c r="J32" t="e">
        <f>AND(#REF!,"AAAAAFvP/gk=")</f>
        <v>#REF!</v>
      </c>
      <c r="K32" t="e">
        <f>AND(#REF!,"AAAAAFvP/go=")</f>
        <v>#REF!</v>
      </c>
      <c r="L32" t="e">
        <f>AND(#REF!,"AAAAAFvP/gs=")</f>
        <v>#REF!</v>
      </c>
      <c r="M32" t="e">
        <f>AND(#REF!,"AAAAAFvP/gw=")</f>
        <v>#REF!</v>
      </c>
      <c r="N32" t="e">
        <f>AND(#REF!,"AAAAAFvP/g0=")</f>
        <v>#REF!</v>
      </c>
      <c r="O32" t="e">
        <f>AND(#REF!,"AAAAAFvP/g4=")</f>
        <v>#REF!</v>
      </c>
      <c r="P32" t="e">
        <f>AND(#REF!,"AAAAAFvP/g8=")</f>
        <v>#REF!</v>
      </c>
      <c r="Q32" t="e">
        <f>AND(#REF!,"AAAAAFvP/hA=")</f>
        <v>#REF!</v>
      </c>
      <c r="R32" t="e">
        <f>AND(#REF!,"AAAAAFvP/hE=")</f>
        <v>#REF!</v>
      </c>
      <c r="S32" t="e">
        <f>AND(#REF!,"AAAAAFvP/hI=")</f>
        <v>#REF!</v>
      </c>
      <c r="T32" t="e">
        <f>AND(#REF!,"AAAAAFvP/hM=")</f>
        <v>#REF!</v>
      </c>
      <c r="U32" t="e">
        <f>AND(#REF!,"AAAAAFvP/hQ=")</f>
        <v>#REF!</v>
      </c>
      <c r="V32" t="e">
        <f>AND(#REF!,"AAAAAFvP/hU=")</f>
        <v>#REF!</v>
      </c>
      <c r="W32" t="e">
        <f>AND(#REF!,"AAAAAFvP/hY=")</f>
        <v>#REF!</v>
      </c>
      <c r="X32" t="e">
        <f>AND(#REF!,"AAAAAFvP/hc=")</f>
        <v>#REF!</v>
      </c>
      <c r="Y32" t="e">
        <f>AND(#REF!,"AAAAAFvP/hg=")</f>
        <v>#REF!</v>
      </c>
      <c r="Z32" t="e">
        <f>AND(#REF!,"AAAAAFvP/hk=")</f>
        <v>#REF!</v>
      </c>
      <c r="AA32" t="e">
        <f>AND(#REF!,"AAAAAFvP/ho=")</f>
        <v>#REF!</v>
      </c>
      <c r="AB32" t="e">
        <f>AND(#REF!,"AAAAAFvP/hs=")</f>
        <v>#REF!</v>
      </c>
      <c r="AC32" t="e">
        <f>AND(#REF!,"AAAAAFvP/hw=")</f>
        <v>#REF!</v>
      </c>
      <c r="AD32" t="e">
        <f>AND(#REF!,"AAAAAFvP/h0=")</f>
        <v>#REF!</v>
      </c>
      <c r="AE32" t="e">
        <f>AND(#REF!,"AAAAAFvP/h4=")</f>
        <v>#REF!</v>
      </c>
      <c r="AF32" t="e">
        <f>AND(#REF!,"AAAAAFvP/h8=")</f>
        <v>#REF!</v>
      </c>
      <c r="AG32" t="e">
        <f>AND(#REF!,"AAAAAFvP/iA=")</f>
        <v>#REF!</v>
      </c>
      <c r="AH32" t="e">
        <f>AND(#REF!,"AAAAAFvP/iE=")</f>
        <v>#REF!</v>
      </c>
      <c r="AI32" t="e">
        <f>AND(#REF!,"AAAAAFvP/iI=")</f>
        <v>#REF!</v>
      </c>
      <c r="AJ32" t="e">
        <f>AND(#REF!,"AAAAAFvP/iM=")</f>
        <v>#REF!</v>
      </c>
      <c r="AK32" t="e">
        <f>AND(#REF!,"AAAAAFvP/iQ=")</f>
        <v>#REF!</v>
      </c>
      <c r="AL32" t="e">
        <f>AND(#REF!,"AAAAAFvP/iU=")</f>
        <v>#REF!</v>
      </c>
      <c r="AM32" t="e">
        <f>AND(#REF!,"AAAAAFvP/iY=")</f>
        <v>#REF!</v>
      </c>
      <c r="AN32" t="e">
        <f>AND(#REF!,"AAAAAFvP/ic=")</f>
        <v>#REF!</v>
      </c>
      <c r="AO32" t="e">
        <f>AND(#REF!,"AAAAAFvP/ig=")</f>
        <v>#REF!</v>
      </c>
      <c r="AP32" t="e">
        <f>AND(#REF!,"AAAAAFvP/ik=")</f>
        <v>#REF!</v>
      </c>
      <c r="AQ32" t="e">
        <f>AND(#REF!,"AAAAAFvP/io=")</f>
        <v>#REF!</v>
      </c>
      <c r="AR32" t="e">
        <f>IF(#REF!,"AAAAAFvP/is=",0)</f>
        <v>#REF!</v>
      </c>
      <c r="AS32" t="e">
        <f>AND(#REF!,"AAAAAFvP/iw=")</f>
        <v>#REF!</v>
      </c>
      <c r="AT32" t="e">
        <f>AND(#REF!,"AAAAAFvP/i0=")</f>
        <v>#REF!</v>
      </c>
      <c r="AU32" t="e">
        <f>AND(#REF!,"AAAAAFvP/i4=")</f>
        <v>#REF!</v>
      </c>
      <c r="AV32" t="e">
        <f>AND(#REF!,"AAAAAFvP/i8=")</f>
        <v>#REF!</v>
      </c>
      <c r="AW32" t="e">
        <f>AND(#REF!,"AAAAAFvP/jA=")</f>
        <v>#REF!</v>
      </c>
      <c r="AX32" t="e">
        <f>AND(#REF!,"AAAAAFvP/jE=")</f>
        <v>#REF!</v>
      </c>
      <c r="AY32" t="e">
        <f>AND(#REF!,"AAAAAFvP/jI=")</f>
        <v>#REF!</v>
      </c>
      <c r="AZ32" t="e">
        <f>AND(#REF!,"AAAAAFvP/jM=")</f>
        <v>#REF!</v>
      </c>
      <c r="BA32" t="e">
        <f>AND(#REF!,"AAAAAFvP/jQ=")</f>
        <v>#REF!</v>
      </c>
      <c r="BB32" t="e">
        <f>AND(#REF!,"AAAAAFvP/jU=")</f>
        <v>#REF!</v>
      </c>
      <c r="BC32" t="e">
        <f>AND(#REF!,"AAAAAFvP/jY=")</f>
        <v>#REF!</v>
      </c>
      <c r="BD32" t="e">
        <f>AND(#REF!,"AAAAAFvP/jc=")</f>
        <v>#REF!</v>
      </c>
      <c r="BE32" t="e">
        <f>AND(#REF!,"AAAAAFvP/jg=")</f>
        <v>#REF!</v>
      </c>
      <c r="BF32" t="e">
        <f>AND(#REF!,"AAAAAFvP/jk=")</f>
        <v>#REF!</v>
      </c>
      <c r="BG32" t="e">
        <f>AND(#REF!,"AAAAAFvP/jo=")</f>
        <v>#REF!</v>
      </c>
      <c r="BH32" t="e">
        <f>AND(#REF!,"AAAAAFvP/js=")</f>
        <v>#REF!</v>
      </c>
      <c r="BI32" t="e">
        <f>AND(#REF!,"AAAAAFvP/jw=")</f>
        <v>#REF!</v>
      </c>
      <c r="BJ32" t="e">
        <f>AND(#REF!,"AAAAAFvP/j0=")</f>
        <v>#REF!</v>
      </c>
      <c r="BK32" t="e">
        <f>AND(#REF!,"AAAAAFvP/j4=")</f>
        <v>#REF!</v>
      </c>
      <c r="BL32" t="e">
        <f>AND(#REF!,"AAAAAFvP/j8=")</f>
        <v>#REF!</v>
      </c>
      <c r="BM32" t="e">
        <f>AND(#REF!,"AAAAAFvP/kA=")</f>
        <v>#REF!</v>
      </c>
      <c r="BN32" t="e">
        <f>AND(#REF!,"AAAAAFvP/kE=")</f>
        <v>#REF!</v>
      </c>
      <c r="BO32" t="e">
        <f>AND(#REF!,"AAAAAFvP/kI=")</f>
        <v>#REF!</v>
      </c>
      <c r="BP32" t="e">
        <f>AND(#REF!,"AAAAAFvP/kM=")</f>
        <v>#REF!</v>
      </c>
      <c r="BQ32" t="e">
        <f>AND(#REF!,"AAAAAFvP/kQ=")</f>
        <v>#REF!</v>
      </c>
      <c r="BR32" t="e">
        <f>AND(#REF!,"AAAAAFvP/kU=")</f>
        <v>#REF!</v>
      </c>
      <c r="BS32" t="e">
        <f>AND(#REF!,"AAAAAFvP/kY=")</f>
        <v>#REF!</v>
      </c>
      <c r="BT32" t="e">
        <f>AND(#REF!,"AAAAAFvP/kc=")</f>
        <v>#REF!</v>
      </c>
      <c r="BU32" t="e">
        <f>AND(#REF!,"AAAAAFvP/kg=")</f>
        <v>#REF!</v>
      </c>
      <c r="BV32" t="e">
        <f>AND(#REF!,"AAAAAFvP/kk=")</f>
        <v>#REF!</v>
      </c>
      <c r="BW32" t="e">
        <f>AND(#REF!,"AAAAAFvP/ko=")</f>
        <v>#REF!</v>
      </c>
      <c r="BX32" t="e">
        <f>AND(#REF!,"AAAAAFvP/ks=")</f>
        <v>#REF!</v>
      </c>
      <c r="BY32" t="e">
        <f>AND(#REF!,"AAAAAFvP/kw=")</f>
        <v>#REF!</v>
      </c>
      <c r="BZ32" t="e">
        <f>AND(#REF!,"AAAAAFvP/k0=")</f>
        <v>#REF!</v>
      </c>
      <c r="CA32" t="e">
        <f>AND(#REF!,"AAAAAFvP/k4=")</f>
        <v>#REF!</v>
      </c>
      <c r="CB32" t="e">
        <f>AND(#REF!,"AAAAAFvP/k8=")</f>
        <v>#REF!</v>
      </c>
      <c r="CC32" t="e">
        <f>AND(#REF!,"AAAAAFvP/lA=")</f>
        <v>#REF!</v>
      </c>
      <c r="CD32" t="e">
        <f>AND(#REF!,"AAAAAFvP/lE=")</f>
        <v>#REF!</v>
      </c>
      <c r="CE32" t="e">
        <f>AND(#REF!,"AAAAAFvP/lI=")</f>
        <v>#REF!</v>
      </c>
      <c r="CF32" t="e">
        <f>IF(#REF!,"AAAAAFvP/lM=",0)</f>
        <v>#REF!</v>
      </c>
      <c r="CG32" t="e">
        <f>AND(#REF!,"AAAAAFvP/lQ=")</f>
        <v>#REF!</v>
      </c>
      <c r="CH32" t="e">
        <f>AND(#REF!,"AAAAAFvP/lU=")</f>
        <v>#REF!</v>
      </c>
      <c r="CI32" t="e">
        <f>AND(#REF!,"AAAAAFvP/lY=")</f>
        <v>#REF!</v>
      </c>
      <c r="CJ32" t="e">
        <f>AND(#REF!,"AAAAAFvP/lc=")</f>
        <v>#REF!</v>
      </c>
      <c r="CK32" t="e">
        <f>AND(#REF!,"AAAAAFvP/lg=")</f>
        <v>#REF!</v>
      </c>
      <c r="CL32" t="e">
        <f>AND(#REF!,"AAAAAFvP/lk=")</f>
        <v>#REF!</v>
      </c>
      <c r="CM32" t="e">
        <f>AND(#REF!,"AAAAAFvP/lo=")</f>
        <v>#REF!</v>
      </c>
      <c r="CN32" t="e">
        <f>AND(#REF!,"AAAAAFvP/ls=")</f>
        <v>#REF!</v>
      </c>
      <c r="CO32" t="e">
        <f>AND(#REF!,"AAAAAFvP/lw=")</f>
        <v>#REF!</v>
      </c>
      <c r="CP32" t="e">
        <f>AND(#REF!,"AAAAAFvP/l0=")</f>
        <v>#REF!</v>
      </c>
      <c r="CQ32" t="e">
        <f>AND(#REF!,"AAAAAFvP/l4=")</f>
        <v>#REF!</v>
      </c>
      <c r="CR32" t="e">
        <f>AND(#REF!,"AAAAAFvP/l8=")</f>
        <v>#REF!</v>
      </c>
      <c r="CS32" t="e">
        <f>AND(#REF!,"AAAAAFvP/mA=")</f>
        <v>#REF!</v>
      </c>
      <c r="CT32" t="e">
        <f>AND(#REF!,"AAAAAFvP/mE=")</f>
        <v>#REF!</v>
      </c>
      <c r="CU32" t="e">
        <f>AND(#REF!,"AAAAAFvP/mI=")</f>
        <v>#REF!</v>
      </c>
      <c r="CV32" t="e">
        <f>AND(#REF!,"AAAAAFvP/mM=")</f>
        <v>#REF!</v>
      </c>
      <c r="CW32" t="e">
        <f>AND(#REF!,"AAAAAFvP/mQ=")</f>
        <v>#REF!</v>
      </c>
      <c r="CX32" t="e">
        <f>AND(#REF!,"AAAAAFvP/mU=")</f>
        <v>#REF!</v>
      </c>
      <c r="CY32" t="e">
        <f>AND(#REF!,"AAAAAFvP/mY=")</f>
        <v>#REF!</v>
      </c>
      <c r="CZ32" t="e">
        <f>AND(#REF!,"AAAAAFvP/mc=")</f>
        <v>#REF!</v>
      </c>
      <c r="DA32" t="e">
        <f>AND(#REF!,"AAAAAFvP/mg=")</f>
        <v>#REF!</v>
      </c>
      <c r="DB32" t="e">
        <f>AND(#REF!,"AAAAAFvP/mk=")</f>
        <v>#REF!</v>
      </c>
      <c r="DC32" t="e">
        <f>AND(#REF!,"AAAAAFvP/mo=")</f>
        <v>#REF!</v>
      </c>
      <c r="DD32" t="e">
        <f>AND(#REF!,"AAAAAFvP/ms=")</f>
        <v>#REF!</v>
      </c>
      <c r="DE32" t="e">
        <f>AND(#REF!,"AAAAAFvP/mw=")</f>
        <v>#REF!</v>
      </c>
      <c r="DF32" t="e">
        <f>AND(#REF!,"AAAAAFvP/m0=")</f>
        <v>#REF!</v>
      </c>
      <c r="DG32" t="e">
        <f>AND(#REF!,"AAAAAFvP/m4=")</f>
        <v>#REF!</v>
      </c>
      <c r="DH32" t="e">
        <f>AND(#REF!,"AAAAAFvP/m8=")</f>
        <v>#REF!</v>
      </c>
      <c r="DI32" t="e">
        <f>AND(#REF!,"AAAAAFvP/nA=")</f>
        <v>#REF!</v>
      </c>
      <c r="DJ32" t="e">
        <f>AND(#REF!,"AAAAAFvP/nE=")</f>
        <v>#REF!</v>
      </c>
      <c r="DK32" t="e">
        <f>AND(#REF!,"AAAAAFvP/nI=")</f>
        <v>#REF!</v>
      </c>
      <c r="DL32" t="e">
        <f>AND(#REF!,"AAAAAFvP/nM=")</f>
        <v>#REF!</v>
      </c>
      <c r="DM32" t="e">
        <f>AND(#REF!,"AAAAAFvP/nQ=")</f>
        <v>#REF!</v>
      </c>
      <c r="DN32" t="e">
        <f>AND(#REF!,"AAAAAFvP/nU=")</f>
        <v>#REF!</v>
      </c>
      <c r="DO32" t="e">
        <f>AND(#REF!,"AAAAAFvP/nY=")</f>
        <v>#REF!</v>
      </c>
      <c r="DP32" t="e">
        <f>AND(#REF!,"AAAAAFvP/nc=")</f>
        <v>#REF!</v>
      </c>
      <c r="DQ32" t="e">
        <f>AND(#REF!,"AAAAAFvP/ng=")</f>
        <v>#REF!</v>
      </c>
      <c r="DR32" t="e">
        <f>AND(#REF!,"AAAAAFvP/nk=")</f>
        <v>#REF!</v>
      </c>
      <c r="DS32" t="e">
        <f>AND(#REF!,"AAAAAFvP/no=")</f>
        <v>#REF!</v>
      </c>
      <c r="DT32" t="e">
        <f>IF(#REF!,"AAAAAFvP/ns=",0)</f>
        <v>#REF!</v>
      </c>
      <c r="DU32" t="e">
        <f>AND(#REF!,"AAAAAFvP/nw=")</f>
        <v>#REF!</v>
      </c>
      <c r="DV32" t="e">
        <f>AND(#REF!,"AAAAAFvP/n0=")</f>
        <v>#REF!</v>
      </c>
      <c r="DW32" t="e">
        <f>AND(#REF!,"AAAAAFvP/n4=")</f>
        <v>#REF!</v>
      </c>
      <c r="DX32" t="e">
        <f>AND(#REF!,"AAAAAFvP/n8=")</f>
        <v>#REF!</v>
      </c>
      <c r="DY32" t="e">
        <f>AND(#REF!,"AAAAAFvP/oA=")</f>
        <v>#REF!</v>
      </c>
      <c r="DZ32" t="e">
        <f>AND(#REF!,"AAAAAFvP/oE=")</f>
        <v>#REF!</v>
      </c>
      <c r="EA32" t="e">
        <f>AND(#REF!,"AAAAAFvP/oI=")</f>
        <v>#REF!</v>
      </c>
      <c r="EB32" t="e">
        <f>AND(#REF!,"AAAAAFvP/oM=")</f>
        <v>#REF!</v>
      </c>
      <c r="EC32" t="e">
        <f>AND(#REF!,"AAAAAFvP/oQ=")</f>
        <v>#REF!</v>
      </c>
      <c r="ED32" t="e">
        <f>AND(#REF!,"AAAAAFvP/oU=")</f>
        <v>#REF!</v>
      </c>
      <c r="EE32" t="e">
        <f>AND(#REF!,"AAAAAFvP/oY=")</f>
        <v>#REF!</v>
      </c>
      <c r="EF32" t="e">
        <f>AND(#REF!,"AAAAAFvP/oc=")</f>
        <v>#REF!</v>
      </c>
      <c r="EG32" t="e">
        <f>AND(#REF!,"AAAAAFvP/og=")</f>
        <v>#REF!</v>
      </c>
      <c r="EH32" t="e">
        <f>AND(#REF!,"AAAAAFvP/ok=")</f>
        <v>#REF!</v>
      </c>
      <c r="EI32" t="e">
        <f>AND(#REF!,"AAAAAFvP/oo=")</f>
        <v>#REF!</v>
      </c>
      <c r="EJ32" t="e">
        <f>AND(#REF!,"AAAAAFvP/os=")</f>
        <v>#REF!</v>
      </c>
      <c r="EK32" t="e">
        <f>AND(#REF!,"AAAAAFvP/ow=")</f>
        <v>#REF!</v>
      </c>
      <c r="EL32" t="e">
        <f>AND(#REF!,"AAAAAFvP/o0=")</f>
        <v>#REF!</v>
      </c>
      <c r="EM32" t="e">
        <f>AND(#REF!,"AAAAAFvP/o4=")</f>
        <v>#REF!</v>
      </c>
      <c r="EN32" t="e">
        <f>AND(#REF!,"AAAAAFvP/o8=")</f>
        <v>#REF!</v>
      </c>
      <c r="EO32" t="e">
        <f>AND(#REF!,"AAAAAFvP/pA=")</f>
        <v>#REF!</v>
      </c>
      <c r="EP32" t="e">
        <f>AND(#REF!,"AAAAAFvP/pE=")</f>
        <v>#REF!</v>
      </c>
      <c r="EQ32" t="e">
        <f>AND(#REF!,"AAAAAFvP/pI=")</f>
        <v>#REF!</v>
      </c>
      <c r="ER32" t="e">
        <f>AND(#REF!,"AAAAAFvP/pM=")</f>
        <v>#REF!</v>
      </c>
      <c r="ES32" t="e">
        <f>AND(#REF!,"AAAAAFvP/pQ=")</f>
        <v>#REF!</v>
      </c>
      <c r="ET32" t="e">
        <f>AND(#REF!,"AAAAAFvP/pU=")</f>
        <v>#REF!</v>
      </c>
      <c r="EU32" t="e">
        <f>AND(#REF!,"AAAAAFvP/pY=")</f>
        <v>#REF!</v>
      </c>
      <c r="EV32" t="e">
        <f>AND(#REF!,"AAAAAFvP/pc=")</f>
        <v>#REF!</v>
      </c>
      <c r="EW32" t="e">
        <f>AND(#REF!,"AAAAAFvP/pg=")</f>
        <v>#REF!</v>
      </c>
      <c r="EX32" t="e">
        <f>AND(#REF!,"AAAAAFvP/pk=")</f>
        <v>#REF!</v>
      </c>
      <c r="EY32" t="e">
        <f>AND(#REF!,"AAAAAFvP/po=")</f>
        <v>#REF!</v>
      </c>
      <c r="EZ32" t="e">
        <f>AND(#REF!,"AAAAAFvP/ps=")</f>
        <v>#REF!</v>
      </c>
      <c r="FA32" t="e">
        <f>AND(#REF!,"AAAAAFvP/pw=")</f>
        <v>#REF!</v>
      </c>
      <c r="FB32" t="e">
        <f>AND(#REF!,"AAAAAFvP/p0=")</f>
        <v>#REF!</v>
      </c>
      <c r="FC32" t="e">
        <f>AND(#REF!,"AAAAAFvP/p4=")</f>
        <v>#REF!</v>
      </c>
      <c r="FD32" t="e">
        <f>AND(#REF!,"AAAAAFvP/p8=")</f>
        <v>#REF!</v>
      </c>
      <c r="FE32" t="e">
        <f>AND(#REF!,"AAAAAFvP/qA=")</f>
        <v>#REF!</v>
      </c>
      <c r="FF32" t="e">
        <f>AND(#REF!,"AAAAAFvP/qE=")</f>
        <v>#REF!</v>
      </c>
      <c r="FG32" t="e">
        <f>AND(#REF!,"AAAAAFvP/qI=")</f>
        <v>#REF!</v>
      </c>
      <c r="FH32" t="e">
        <f>IF(#REF!,"AAAAAFvP/qM=",0)</f>
        <v>#REF!</v>
      </c>
      <c r="FI32" t="e">
        <f>AND(#REF!,"AAAAAFvP/qQ=")</f>
        <v>#REF!</v>
      </c>
      <c r="FJ32" t="e">
        <f>AND(#REF!,"AAAAAFvP/qU=")</f>
        <v>#REF!</v>
      </c>
      <c r="FK32" t="e">
        <f>AND(#REF!,"AAAAAFvP/qY=")</f>
        <v>#REF!</v>
      </c>
      <c r="FL32" t="e">
        <f>AND(#REF!,"AAAAAFvP/qc=")</f>
        <v>#REF!</v>
      </c>
      <c r="FM32" t="e">
        <f>AND(#REF!,"AAAAAFvP/qg=")</f>
        <v>#REF!</v>
      </c>
      <c r="FN32" t="e">
        <f>AND(#REF!,"AAAAAFvP/qk=")</f>
        <v>#REF!</v>
      </c>
      <c r="FO32" t="e">
        <f>AND(#REF!,"AAAAAFvP/qo=")</f>
        <v>#REF!</v>
      </c>
      <c r="FP32" t="e">
        <f>AND(#REF!,"AAAAAFvP/qs=")</f>
        <v>#REF!</v>
      </c>
      <c r="FQ32" t="e">
        <f>AND(#REF!,"AAAAAFvP/qw=")</f>
        <v>#REF!</v>
      </c>
      <c r="FR32" t="e">
        <f>AND(#REF!,"AAAAAFvP/q0=")</f>
        <v>#REF!</v>
      </c>
      <c r="FS32" t="e">
        <f>AND(#REF!,"AAAAAFvP/q4=")</f>
        <v>#REF!</v>
      </c>
      <c r="FT32" t="e">
        <f>AND(#REF!,"AAAAAFvP/q8=")</f>
        <v>#REF!</v>
      </c>
      <c r="FU32" t="e">
        <f>AND(#REF!,"AAAAAFvP/rA=")</f>
        <v>#REF!</v>
      </c>
      <c r="FV32" t="e">
        <f>AND(#REF!,"AAAAAFvP/rE=")</f>
        <v>#REF!</v>
      </c>
      <c r="FW32" t="e">
        <f>AND(#REF!,"AAAAAFvP/rI=")</f>
        <v>#REF!</v>
      </c>
      <c r="FX32" t="e">
        <f>AND(#REF!,"AAAAAFvP/rM=")</f>
        <v>#REF!</v>
      </c>
      <c r="FY32" t="e">
        <f>AND(#REF!,"AAAAAFvP/rQ=")</f>
        <v>#REF!</v>
      </c>
      <c r="FZ32" t="e">
        <f>AND(#REF!,"AAAAAFvP/rU=")</f>
        <v>#REF!</v>
      </c>
      <c r="GA32" t="e">
        <f>AND(#REF!,"AAAAAFvP/rY=")</f>
        <v>#REF!</v>
      </c>
      <c r="GB32" t="e">
        <f>AND(#REF!,"AAAAAFvP/rc=")</f>
        <v>#REF!</v>
      </c>
      <c r="GC32" t="e">
        <f>AND(#REF!,"AAAAAFvP/rg=")</f>
        <v>#REF!</v>
      </c>
      <c r="GD32" t="e">
        <f>AND(#REF!,"AAAAAFvP/rk=")</f>
        <v>#REF!</v>
      </c>
      <c r="GE32" t="e">
        <f>AND(#REF!,"AAAAAFvP/ro=")</f>
        <v>#REF!</v>
      </c>
      <c r="GF32" t="e">
        <f>AND(#REF!,"AAAAAFvP/rs=")</f>
        <v>#REF!</v>
      </c>
      <c r="GG32" t="e">
        <f>AND(#REF!,"AAAAAFvP/rw=")</f>
        <v>#REF!</v>
      </c>
      <c r="GH32" t="e">
        <f>AND(#REF!,"AAAAAFvP/r0=")</f>
        <v>#REF!</v>
      </c>
      <c r="GI32" t="e">
        <f>AND(#REF!,"AAAAAFvP/r4=")</f>
        <v>#REF!</v>
      </c>
      <c r="GJ32" t="e">
        <f>AND(#REF!,"AAAAAFvP/r8=")</f>
        <v>#REF!</v>
      </c>
      <c r="GK32" t="e">
        <f>AND(#REF!,"AAAAAFvP/sA=")</f>
        <v>#REF!</v>
      </c>
      <c r="GL32" t="e">
        <f>AND(#REF!,"AAAAAFvP/sE=")</f>
        <v>#REF!</v>
      </c>
      <c r="GM32" t="e">
        <f>AND(#REF!,"AAAAAFvP/sI=")</f>
        <v>#REF!</v>
      </c>
      <c r="GN32" t="e">
        <f>AND(#REF!,"AAAAAFvP/sM=")</f>
        <v>#REF!</v>
      </c>
      <c r="GO32" t="e">
        <f>AND(#REF!,"AAAAAFvP/sQ=")</f>
        <v>#REF!</v>
      </c>
      <c r="GP32" t="e">
        <f>AND(#REF!,"AAAAAFvP/sU=")</f>
        <v>#REF!</v>
      </c>
      <c r="GQ32" t="e">
        <f>AND(#REF!,"AAAAAFvP/sY=")</f>
        <v>#REF!</v>
      </c>
      <c r="GR32" t="e">
        <f>AND(#REF!,"AAAAAFvP/sc=")</f>
        <v>#REF!</v>
      </c>
      <c r="GS32" t="e">
        <f>AND(#REF!,"AAAAAFvP/sg=")</f>
        <v>#REF!</v>
      </c>
      <c r="GT32" t="e">
        <f>AND(#REF!,"AAAAAFvP/sk=")</f>
        <v>#REF!</v>
      </c>
      <c r="GU32" t="e">
        <f>AND(#REF!,"AAAAAFvP/so=")</f>
        <v>#REF!</v>
      </c>
      <c r="GV32" t="e">
        <f>IF(#REF!,"AAAAAFvP/ss=",0)</f>
        <v>#REF!</v>
      </c>
      <c r="GW32" t="e">
        <f>AND(#REF!,"AAAAAFvP/sw=")</f>
        <v>#REF!</v>
      </c>
      <c r="GX32" t="e">
        <f>AND(#REF!,"AAAAAFvP/s0=")</f>
        <v>#REF!</v>
      </c>
      <c r="GY32" t="e">
        <f>AND(#REF!,"AAAAAFvP/s4=")</f>
        <v>#REF!</v>
      </c>
      <c r="GZ32" t="e">
        <f>AND(#REF!,"AAAAAFvP/s8=")</f>
        <v>#REF!</v>
      </c>
      <c r="HA32" t="e">
        <f>AND(#REF!,"AAAAAFvP/tA=")</f>
        <v>#REF!</v>
      </c>
      <c r="HB32" t="e">
        <f>AND(#REF!,"AAAAAFvP/tE=")</f>
        <v>#REF!</v>
      </c>
      <c r="HC32" t="e">
        <f>AND(#REF!,"AAAAAFvP/tI=")</f>
        <v>#REF!</v>
      </c>
      <c r="HD32" t="e">
        <f>AND(#REF!,"AAAAAFvP/tM=")</f>
        <v>#REF!</v>
      </c>
      <c r="HE32" t="e">
        <f>AND(#REF!,"AAAAAFvP/tQ=")</f>
        <v>#REF!</v>
      </c>
      <c r="HF32" t="e">
        <f>AND(#REF!,"AAAAAFvP/tU=")</f>
        <v>#REF!</v>
      </c>
      <c r="HG32" t="e">
        <f>AND(#REF!,"AAAAAFvP/tY=")</f>
        <v>#REF!</v>
      </c>
      <c r="HH32" t="e">
        <f>AND(#REF!,"AAAAAFvP/tc=")</f>
        <v>#REF!</v>
      </c>
      <c r="HI32" t="e">
        <f>AND(#REF!,"AAAAAFvP/tg=")</f>
        <v>#REF!</v>
      </c>
      <c r="HJ32" t="e">
        <f>AND(#REF!,"AAAAAFvP/tk=")</f>
        <v>#REF!</v>
      </c>
      <c r="HK32" t="e">
        <f>AND(#REF!,"AAAAAFvP/to=")</f>
        <v>#REF!</v>
      </c>
      <c r="HL32" t="e">
        <f>AND(#REF!,"AAAAAFvP/ts=")</f>
        <v>#REF!</v>
      </c>
      <c r="HM32" t="e">
        <f>AND(#REF!,"AAAAAFvP/tw=")</f>
        <v>#REF!</v>
      </c>
      <c r="HN32" t="e">
        <f>AND(#REF!,"AAAAAFvP/t0=")</f>
        <v>#REF!</v>
      </c>
      <c r="HO32" t="e">
        <f>AND(#REF!,"AAAAAFvP/t4=")</f>
        <v>#REF!</v>
      </c>
      <c r="HP32" t="e">
        <f>AND(#REF!,"AAAAAFvP/t8=")</f>
        <v>#REF!</v>
      </c>
      <c r="HQ32" t="e">
        <f>AND(#REF!,"AAAAAFvP/uA=")</f>
        <v>#REF!</v>
      </c>
      <c r="HR32" t="e">
        <f>AND(#REF!,"AAAAAFvP/uE=")</f>
        <v>#REF!</v>
      </c>
      <c r="HS32" t="e">
        <f>AND(#REF!,"AAAAAFvP/uI=")</f>
        <v>#REF!</v>
      </c>
      <c r="HT32" t="e">
        <f>AND(#REF!,"AAAAAFvP/uM=")</f>
        <v>#REF!</v>
      </c>
      <c r="HU32" t="e">
        <f>AND(#REF!,"AAAAAFvP/uQ=")</f>
        <v>#REF!</v>
      </c>
      <c r="HV32" t="e">
        <f>AND(#REF!,"AAAAAFvP/uU=")</f>
        <v>#REF!</v>
      </c>
      <c r="HW32" t="e">
        <f>AND(#REF!,"AAAAAFvP/uY=")</f>
        <v>#REF!</v>
      </c>
      <c r="HX32" t="e">
        <f>AND(#REF!,"AAAAAFvP/uc=")</f>
        <v>#REF!</v>
      </c>
      <c r="HY32" t="e">
        <f>AND(#REF!,"AAAAAFvP/ug=")</f>
        <v>#REF!</v>
      </c>
      <c r="HZ32" t="e">
        <f>AND(#REF!,"AAAAAFvP/uk=")</f>
        <v>#REF!</v>
      </c>
      <c r="IA32" t="e">
        <f>AND(#REF!,"AAAAAFvP/uo=")</f>
        <v>#REF!</v>
      </c>
      <c r="IB32" t="e">
        <f>AND(#REF!,"AAAAAFvP/us=")</f>
        <v>#REF!</v>
      </c>
      <c r="IC32" t="e">
        <f>AND(#REF!,"AAAAAFvP/uw=")</f>
        <v>#REF!</v>
      </c>
      <c r="ID32" t="e">
        <f>AND(#REF!,"AAAAAFvP/u0=")</f>
        <v>#REF!</v>
      </c>
      <c r="IE32" t="e">
        <f>AND(#REF!,"AAAAAFvP/u4=")</f>
        <v>#REF!</v>
      </c>
      <c r="IF32" t="e">
        <f>AND(#REF!,"AAAAAFvP/u8=")</f>
        <v>#REF!</v>
      </c>
      <c r="IG32" t="e">
        <f>AND(#REF!,"AAAAAFvP/vA=")</f>
        <v>#REF!</v>
      </c>
      <c r="IH32" t="e">
        <f>AND(#REF!,"AAAAAFvP/vE=")</f>
        <v>#REF!</v>
      </c>
      <c r="II32" t="e">
        <f>AND(#REF!,"AAAAAFvP/vI=")</f>
        <v>#REF!</v>
      </c>
      <c r="IJ32" t="e">
        <f>IF(#REF!,"AAAAAFvP/vM=",0)</f>
        <v>#REF!</v>
      </c>
      <c r="IK32" t="e">
        <f>AND(#REF!,"AAAAAFvP/vQ=")</f>
        <v>#REF!</v>
      </c>
      <c r="IL32" t="e">
        <f>AND(#REF!,"AAAAAFvP/vU=")</f>
        <v>#REF!</v>
      </c>
      <c r="IM32" t="e">
        <f>AND(#REF!,"AAAAAFvP/vY=")</f>
        <v>#REF!</v>
      </c>
      <c r="IN32" t="e">
        <f>AND(#REF!,"AAAAAFvP/vc=")</f>
        <v>#REF!</v>
      </c>
      <c r="IO32" t="e">
        <f>AND(#REF!,"AAAAAFvP/vg=")</f>
        <v>#REF!</v>
      </c>
      <c r="IP32" t="e">
        <f>AND(#REF!,"AAAAAFvP/vk=")</f>
        <v>#REF!</v>
      </c>
      <c r="IQ32" t="e">
        <f>AND(#REF!,"AAAAAFvP/vo=")</f>
        <v>#REF!</v>
      </c>
      <c r="IR32" t="e">
        <f>AND(#REF!,"AAAAAFvP/vs=")</f>
        <v>#REF!</v>
      </c>
      <c r="IS32" t="e">
        <f>AND(#REF!,"AAAAAFvP/vw=")</f>
        <v>#REF!</v>
      </c>
      <c r="IT32" t="e">
        <f>AND(#REF!,"AAAAAFvP/v0=")</f>
        <v>#REF!</v>
      </c>
      <c r="IU32" t="e">
        <f>AND(#REF!,"AAAAAFvP/v4=")</f>
        <v>#REF!</v>
      </c>
      <c r="IV32" t="e">
        <f>AND(#REF!,"AAAAAFvP/v8=")</f>
        <v>#REF!</v>
      </c>
    </row>
    <row r="33" spans="1:256" x14ac:dyDescent="0.35">
      <c r="A33" t="e">
        <f>AND(#REF!,"AAAAAH9z0QA=")</f>
        <v>#REF!</v>
      </c>
      <c r="B33" t="e">
        <f>AND(#REF!,"AAAAAH9z0QE=")</f>
        <v>#REF!</v>
      </c>
      <c r="C33" t="e">
        <f>AND(#REF!,"AAAAAH9z0QI=")</f>
        <v>#REF!</v>
      </c>
      <c r="D33" t="e">
        <f>AND(#REF!,"AAAAAH9z0QM=")</f>
        <v>#REF!</v>
      </c>
      <c r="E33" t="e">
        <f>AND(#REF!,"AAAAAH9z0QQ=")</f>
        <v>#REF!</v>
      </c>
      <c r="F33" t="e">
        <f>AND(#REF!,"AAAAAH9z0QU=")</f>
        <v>#REF!</v>
      </c>
      <c r="G33" t="e">
        <f>AND(#REF!,"AAAAAH9z0QY=")</f>
        <v>#REF!</v>
      </c>
      <c r="H33" t="e">
        <f>AND(#REF!,"AAAAAH9z0Qc=")</f>
        <v>#REF!</v>
      </c>
      <c r="I33" t="e">
        <f>AND(#REF!,"AAAAAH9z0Qg=")</f>
        <v>#REF!</v>
      </c>
      <c r="J33" t="e">
        <f>AND(#REF!,"AAAAAH9z0Qk=")</f>
        <v>#REF!</v>
      </c>
      <c r="K33" t="e">
        <f>AND(#REF!,"AAAAAH9z0Qo=")</f>
        <v>#REF!</v>
      </c>
      <c r="L33" t="e">
        <f>AND(#REF!,"AAAAAH9z0Qs=")</f>
        <v>#REF!</v>
      </c>
      <c r="M33" t="e">
        <f>AND(#REF!,"AAAAAH9z0Qw=")</f>
        <v>#REF!</v>
      </c>
      <c r="N33" t="e">
        <f>AND(#REF!,"AAAAAH9z0Q0=")</f>
        <v>#REF!</v>
      </c>
      <c r="O33" t="e">
        <f>AND(#REF!,"AAAAAH9z0Q4=")</f>
        <v>#REF!</v>
      </c>
      <c r="P33" t="e">
        <f>AND(#REF!,"AAAAAH9z0Q8=")</f>
        <v>#REF!</v>
      </c>
      <c r="Q33" t="e">
        <f>AND(#REF!,"AAAAAH9z0RA=")</f>
        <v>#REF!</v>
      </c>
      <c r="R33" t="e">
        <f>AND(#REF!,"AAAAAH9z0RE=")</f>
        <v>#REF!</v>
      </c>
      <c r="S33" t="e">
        <f>AND(#REF!,"AAAAAH9z0RI=")</f>
        <v>#REF!</v>
      </c>
      <c r="T33" t="e">
        <f>AND(#REF!,"AAAAAH9z0RM=")</f>
        <v>#REF!</v>
      </c>
      <c r="U33" t="e">
        <f>AND(#REF!,"AAAAAH9z0RQ=")</f>
        <v>#REF!</v>
      </c>
      <c r="V33" t="e">
        <f>AND(#REF!,"AAAAAH9z0RU=")</f>
        <v>#REF!</v>
      </c>
      <c r="W33" t="e">
        <f>AND(#REF!,"AAAAAH9z0RY=")</f>
        <v>#REF!</v>
      </c>
      <c r="X33" t="e">
        <f>AND(#REF!,"AAAAAH9z0Rc=")</f>
        <v>#REF!</v>
      </c>
      <c r="Y33" t="e">
        <f>AND(#REF!,"AAAAAH9z0Rg=")</f>
        <v>#REF!</v>
      </c>
      <c r="Z33" t="e">
        <f>AND(#REF!,"AAAAAH9z0Rk=")</f>
        <v>#REF!</v>
      </c>
      <c r="AA33" t="e">
        <f>AND(#REF!,"AAAAAH9z0Ro=")</f>
        <v>#REF!</v>
      </c>
      <c r="AB33" t="e">
        <f>IF(#REF!,"AAAAAH9z0Rs=",0)</f>
        <v>#REF!</v>
      </c>
      <c r="AC33" t="e">
        <f>AND(#REF!,"AAAAAH9z0Rw=")</f>
        <v>#REF!</v>
      </c>
      <c r="AD33" t="e">
        <f>AND(#REF!,"AAAAAH9z0R0=")</f>
        <v>#REF!</v>
      </c>
      <c r="AE33" t="e">
        <f>AND(#REF!,"AAAAAH9z0R4=")</f>
        <v>#REF!</v>
      </c>
      <c r="AF33" t="e">
        <f>AND(#REF!,"AAAAAH9z0R8=")</f>
        <v>#REF!</v>
      </c>
      <c r="AG33" t="e">
        <f>AND(#REF!,"AAAAAH9z0SA=")</f>
        <v>#REF!</v>
      </c>
      <c r="AH33" t="e">
        <f>AND(#REF!,"AAAAAH9z0SE=")</f>
        <v>#REF!</v>
      </c>
      <c r="AI33" t="e">
        <f>AND(#REF!,"AAAAAH9z0SI=")</f>
        <v>#REF!</v>
      </c>
      <c r="AJ33" t="e">
        <f>AND(#REF!,"AAAAAH9z0SM=")</f>
        <v>#REF!</v>
      </c>
      <c r="AK33" t="e">
        <f>AND(#REF!,"AAAAAH9z0SQ=")</f>
        <v>#REF!</v>
      </c>
      <c r="AL33" t="e">
        <f>AND(#REF!,"AAAAAH9z0SU=")</f>
        <v>#REF!</v>
      </c>
      <c r="AM33" t="e">
        <f>AND(#REF!,"AAAAAH9z0SY=")</f>
        <v>#REF!</v>
      </c>
      <c r="AN33" t="e">
        <f>AND(#REF!,"AAAAAH9z0Sc=")</f>
        <v>#REF!</v>
      </c>
      <c r="AO33" t="e">
        <f>AND(#REF!,"AAAAAH9z0Sg=")</f>
        <v>#REF!</v>
      </c>
      <c r="AP33" t="e">
        <f>AND(#REF!,"AAAAAH9z0Sk=")</f>
        <v>#REF!</v>
      </c>
      <c r="AQ33" t="e">
        <f>AND(#REF!,"AAAAAH9z0So=")</f>
        <v>#REF!</v>
      </c>
      <c r="AR33" t="e">
        <f>AND(#REF!,"AAAAAH9z0Ss=")</f>
        <v>#REF!</v>
      </c>
      <c r="AS33" t="e">
        <f>AND(#REF!,"AAAAAH9z0Sw=")</f>
        <v>#REF!</v>
      </c>
      <c r="AT33" t="e">
        <f>AND(#REF!,"AAAAAH9z0S0=")</f>
        <v>#REF!</v>
      </c>
      <c r="AU33" t="e">
        <f>AND(#REF!,"AAAAAH9z0S4=")</f>
        <v>#REF!</v>
      </c>
      <c r="AV33" t="e">
        <f>AND(#REF!,"AAAAAH9z0S8=")</f>
        <v>#REF!</v>
      </c>
      <c r="AW33" t="e">
        <f>AND(#REF!,"AAAAAH9z0TA=")</f>
        <v>#REF!</v>
      </c>
      <c r="AX33" t="e">
        <f>AND(#REF!,"AAAAAH9z0TE=")</f>
        <v>#REF!</v>
      </c>
      <c r="AY33" t="e">
        <f>AND(#REF!,"AAAAAH9z0TI=")</f>
        <v>#REF!</v>
      </c>
      <c r="AZ33" t="e">
        <f>AND(#REF!,"AAAAAH9z0TM=")</f>
        <v>#REF!</v>
      </c>
      <c r="BA33" t="e">
        <f>AND(#REF!,"AAAAAH9z0TQ=")</f>
        <v>#REF!</v>
      </c>
      <c r="BB33" t="e">
        <f>AND(#REF!,"AAAAAH9z0TU=")</f>
        <v>#REF!</v>
      </c>
      <c r="BC33" t="e">
        <f>AND(#REF!,"AAAAAH9z0TY=")</f>
        <v>#REF!</v>
      </c>
      <c r="BD33" t="e">
        <f>AND(#REF!,"AAAAAH9z0Tc=")</f>
        <v>#REF!</v>
      </c>
      <c r="BE33" t="e">
        <f>AND(#REF!,"AAAAAH9z0Tg=")</f>
        <v>#REF!</v>
      </c>
      <c r="BF33" t="e">
        <f>AND(#REF!,"AAAAAH9z0Tk=")</f>
        <v>#REF!</v>
      </c>
      <c r="BG33" t="e">
        <f>AND(#REF!,"AAAAAH9z0To=")</f>
        <v>#REF!</v>
      </c>
      <c r="BH33" t="e">
        <f>AND(#REF!,"AAAAAH9z0Ts=")</f>
        <v>#REF!</v>
      </c>
      <c r="BI33" t="e">
        <f>AND(#REF!,"AAAAAH9z0Tw=")</f>
        <v>#REF!</v>
      </c>
      <c r="BJ33" t="e">
        <f>AND(#REF!,"AAAAAH9z0T0=")</f>
        <v>#REF!</v>
      </c>
      <c r="BK33" t="e">
        <f>AND(#REF!,"AAAAAH9z0T4=")</f>
        <v>#REF!</v>
      </c>
      <c r="BL33" t="e">
        <f>AND(#REF!,"AAAAAH9z0T8=")</f>
        <v>#REF!</v>
      </c>
      <c r="BM33" t="e">
        <f>AND(#REF!,"AAAAAH9z0UA=")</f>
        <v>#REF!</v>
      </c>
      <c r="BN33" t="e">
        <f>AND(#REF!,"AAAAAH9z0UE=")</f>
        <v>#REF!</v>
      </c>
      <c r="BO33" t="e">
        <f>AND(#REF!,"AAAAAH9z0UI=")</f>
        <v>#REF!</v>
      </c>
      <c r="BP33" t="e">
        <f>IF(#REF!,"AAAAAH9z0UM=",0)</f>
        <v>#REF!</v>
      </c>
      <c r="BQ33" t="e">
        <f>AND(#REF!,"AAAAAH9z0UQ=")</f>
        <v>#REF!</v>
      </c>
      <c r="BR33" t="e">
        <f>AND(#REF!,"AAAAAH9z0UU=")</f>
        <v>#REF!</v>
      </c>
      <c r="BS33" t="e">
        <f>AND(#REF!,"AAAAAH9z0UY=")</f>
        <v>#REF!</v>
      </c>
      <c r="BT33" t="e">
        <f>AND(#REF!,"AAAAAH9z0Uc=")</f>
        <v>#REF!</v>
      </c>
      <c r="BU33" t="e">
        <f>AND(#REF!,"AAAAAH9z0Ug=")</f>
        <v>#REF!</v>
      </c>
      <c r="BV33" t="e">
        <f>AND(#REF!,"AAAAAH9z0Uk=")</f>
        <v>#REF!</v>
      </c>
      <c r="BW33" t="e">
        <f>AND(#REF!,"AAAAAH9z0Uo=")</f>
        <v>#REF!</v>
      </c>
      <c r="BX33" t="e">
        <f>AND(#REF!,"AAAAAH9z0Us=")</f>
        <v>#REF!</v>
      </c>
      <c r="BY33" t="e">
        <f>AND(#REF!,"AAAAAH9z0Uw=")</f>
        <v>#REF!</v>
      </c>
      <c r="BZ33" t="e">
        <f>AND(#REF!,"AAAAAH9z0U0=")</f>
        <v>#REF!</v>
      </c>
      <c r="CA33" t="e">
        <f>AND(#REF!,"AAAAAH9z0U4=")</f>
        <v>#REF!</v>
      </c>
      <c r="CB33" t="e">
        <f>AND(#REF!,"AAAAAH9z0U8=")</f>
        <v>#REF!</v>
      </c>
      <c r="CC33" t="e">
        <f>AND(#REF!,"AAAAAH9z0VA=")</f>
        <v>#REF!</v>
      </c>
      <c r="CD33" t="e">
        <f>AND(#REF!,"AAAAAH9z0VE=")</f>
        <v>#REF!</v>
      </c>
      <c r="CE33" t="e">
        <f>AND(#REF!,"AAAAAH9z0VI=")</f>
        <v>#REF!</v>
      </c>
      <c r="CF33" t="e">
        <f>AND(#REF!,"AAAAAH9z0VM=")</f>
        <v>#REF!</v>
      </c>
      <c r="CG33" t="e">
        <f>AND(#REF!,"AAAAAH9z0VQ=")</f>
        <v>#REF!</v>
      </c>
      <c r="CH33" t="e">
        <f>AND(#REF!,"AAAAAH9z0VU=")</f>
        <v>#REF!</v>
      </c>
      <c r="CI33" t="e">
        <f>AND(#REF!,"AAAAAH9z0VY=")</f>
        <v>#REF!</v>
      </c>
      <c r="CJ33" t="e">
        <f>AND(#REF!,"AAAAAH9z0Vc=")</f>
        <v>#REF!</v>
      </c>
      <c r="CK33" t="e">
        <f>AND(#REF!,"AAAAAH9z0Vg=")</f>
        <v>#REF!</v>
      </c>
      <c r="CL33" t="e">
        <f>AND(#REF!,"AAAAAH9z0Vk=")</f>
        <v>#REF!</v>
      </c>
      <c r="CM33" t="e">
        <f>AND(#REF!,"AAAAAH9z0Vo=")</f>
        <v>#REF!</v>
      </c>
      <c r="CN33" t="e">
        <f>AND(#REF!,"AAAAAH9z0Vs=")</f>
        <v>#REF!</v>
      </c>
      <c r="CO33" t="e">
        <f>AND(#REF!,"AAAAAH9z0Vw=")</f>
        <v>#REF!</v>
      </c>
      <c r="CP33" t="e">
        <f>AND(#REF!,"AAAAAH9z0V0=")</f>
        <v>#REF!</v>
      </c>
      <c r="CQ33" t="e">
        <f>AND(#REF!,"AAAAAH9z0V4=")</f>
        <v>#REF!</v>
      </c>
      <c r="CR33" t="e">
        <f>AND(#REF!,"AAAAAH9z0V8=")</f>
        <v>#REF!</v>
      </c>
      <c r="CS33" t="e">
        <f>AND(#REF!,"AAAAAH9z0WA=")</f>
        <v>#REF!</v>
      </c>
      <c r="CT33" t="e">
        <f>AND(#REF!,"AAAAAH9z0WE=")</f>
        <v>#REF!</v>
      </c>
      <c r="CU33" t="e">
        <f>AND(#REF!,"AAAAAH9z0WI=")</f>
        <v>#REF!</v>
      </c>
      <c r="CV33" t="e">
        <f>AND(#REF!,"AAAAAH9z0WM=")</f>
        <v>#REF!</v>
      </c>
      <c r="CW33" t="e">
        <f>AND(#REF!,"AAAAAH9z0WQ=")</f>
        <v>#REF!</v>
      </c>
      <c r="CX33" t="e">
        <f>AND(#REF!,"AAAAAH9z0WU=")</f>
        <v>#REF!</v>
      </c>
      <c r="CY33" t="e">
        <f>AND(#REF!,"AAAAAH9z0WY=")</f>
        <v>#REF!</v>
      </c>
      <c r="CZ33" t="e">
        <f>AND(#REF!,"AAAAAH9z0Wc=")</f>
        <v>#REF!</v>
      </c>
      <c r="DA33" t="e">
        <f>AND(#REF!,"AAAAAH9z0Wg=")</f>
        <v>#REF!</v>
      </c>
      <c r="DB33" t="e">
        <f>AND(#REF!,"AAAAAH9z0Wk=")</f>
        <v>#REF!</v>
      </c>
      <c r="DC33" t="e">
        <f>AND(#REF!,"AAAAAH9z0Wo=")</f>
        <v>#REF!</v>
      </c>
      <c r="DD33" t="e">
        <f>IF(#REF!,"AAAAAH9z0Ws=",0)</f>
        <v>#REF!</v>
      </c>
      <c r="DE33" t="e">
        <f>AND(#REF!,"AAAAAH9z0Ww=")</f>
        <v>#REF!</v>
      </c>
      <c r="DF33" t="e">
        <f>AND(#REF!,"AAAAAH9z0W0=")</f>
        <v>#REF!</v>
      </c>
      <c r="DG33" t="e">
        <f>AND(#REF!,"AAAAAH9z0W4=")</f>
        <v>#REF!</v>
      </c>
      <c r="DH33" t="e">
        <f>AND(#REF!,"AAAAAH9z0W8=")</f>
        <v>#REF!</v>
      </c>
      <c r="DI33" t="e">
        <f>AND(#REF!,"AAAAAH9z0XA=")</f>
        <v>#REF!</v>
      </c>
      <c r="DJ33" t="e">
        <f>AND(#REF!,"AAAAAH9z0XE=")</f>
        <v>#REF!</v>
      </c>
      <c r="DK33" t="e">
        <f>AND(#REF!,"AAAAAH9z0XI=")</f>
        <v>#REF!</v>
      </c>
      <c r="DL33" t="e">
        <f>AND(#REF!,"AAAAAH9z0XM=")</f>
        <v>#REF!</v>
      </c>
      <c r="DM33" t="e">
        <f>AND(#REF!,"AAAAAH9z0XQ=")</f>
        <v>#REF!</v>
      </c>
      <c r="DN33" t="e">
        <f>AND(#REF!,"AAAAAH9z0XU=")</f>
        <v>#REF!</v>
      </c>
      <c r="DO33" t="e">
        <f>AND(#REF!,"AAAAAH9z0XY=")</f>
        <v>#REF!</v>
      </c>
      <c r="DP33" t="e">
        <f>AND(#REF!,"AAAAAH9z0Xc=")</f>
        <v>#REF!</v>
      </c>
      <c r="DQ33" t="e">
        <f>AND(#REF!,"AAAAAH9z0Xg=")</f>
        <v>#REF!</v>
      </c>
      <c r="DR33" t="e">
        <f>AND(#REF!,"AAAAAH9z0Xk=")</f>
        <v>#REF!</v>
      </c>
      <c r="DS33" t="e">
        <f>AND(#REF!,"AAAAAH9z0Xo=")</f>
        <v>#REF!</v>
      </c>
      <c r="DT33" t="e">
        <f>AND(#REF!,"AAAAAH9z0Xs=")</f>
        <v>#REF!</v>
      </c>
      <c r="DU33" t="e">
        <f>AND(#REF!,"AAAAAH9z0Xw=")</f>
        <v>#REF!</v>
      </c>
      <c r="DV33" t="e">
        <f>AND(#REF!,"AAAAAH9z0X0=")</f>
        <v>#REF!</v>
      </c>
      <c r="DW33" t="e">
        <f>AND(#REF!,"AAAAAH9z0X4=")</f>
        <v>#REF!</v>
      </c>
      <c r="DX33" t="e">
        <f>AND(#REF!,"AAAAAH9z0X8=")</f>
        <v>#REF!</v>
      </c>
      <c r="DY33" t="e">
        <f>AND(#REF!,"AAAAAH9z0YA=")</f>
        <v>#REF!</v>
      </c>
      <c r="DZ33" t="e">
        <f>AND(#REF!,"AAAAAH9z0YE=")</f>
        <v>#REF!</v>
      </c>
      <c r="EA33" t="e">
        <f>AND(#REF!,"AAAAAH9z0YI=")</f>
        <v>#REF!</v>
      </c>
      <c r="EB33" t="e">
        <f>AND(#REF!,"AAAAAH9z0YM=")</f>
        <v>#REF!</v>
      </c>
      <c r="EC33" t="e">
        <f>AND(#REF!,"AAAAAH9z0YQ=")</f>
        <v>#REF!</v>
      </c>
      <c r="ED33" t="e">
        <f>AND(#REF!,"AAAAAH9z0YU=")</f>
        <v>#REF!</v>
      </c>
      <c r="EE33" t="e">
        <f>AND(#REF!,"AAAAAH9z0YY=")</f>
        <v>#REF!</v>
      </c>
      <c r="EF33" t="e">
        <f>AND(#REF!,"AAAAAH9z0Yc=")</f>
        <v>#REF!</v>
      </c>
      <c r="EG33" t="e">
        <f>AND(#REF!,"AAAAAH9z0Yg=")</f>
        <v>#REF!</v>
      </c>
      <c r="EH33" t="e">
        <f>AND(#REF!,"AAAAAH9z0Yk=")</f>
        <v>#REF!</v>
      </c>
      <c r="EI33" t="e">
        <f>AND(#REF!,"AAAAAH9z0Yo=")</f>
        <v>#REF!</v>
      </c>
      <c r="EJ33" t="e">
        <f>AND(#REF!,"AAAAAH9z0Ys=")</f>
        <v>#REF!</v>
      </c>
      <c r="EK33" t="e">
        <f>AND(#REF!,"AAAAAH9z0Yw=")</f>
        <v>#REF!</v>
      </c>
      <c r="EL33" t="e">
        <f>AND(#REF!,"AAAAAH9z0Y0=")</f>
        <v>#REF!</v>
      </c>
      <c r="EM33" t="e">
        <f>AND(#REF!,"AAAAAH9z0Y4=")</f>
        <v>#REF!</v>
      </c>
      <c r="EN33" t="e">
        <f>AND(#REF!,"AAAAAH9z0Y8=")</f>
        <v>#REF!</v>
      </c>
      <c r="EO33" t="e">
        <f>AND(#REF!,"AAAAAH9z0ZA=")</f>
        <v>#REF!</v>
      </c>
      <c r="EP33" t="e">
        <f>AND(#REF!,"AAAAAH9z0ZE=")</f>
        <v>#REF!</v>
      </c>
      <c r="EQ33" t="e">
        <f>AND(#REF!,"AAAAAH9z0ZI=")</f>
        <v>#REF!</v>
      </c>
      <c r="ER33" t="e">
        <f>IF(#REF!,"AAAAAH9z0ZM=",0)</f>
        <v>#REF!</v>
      </c>
      <c r="ES33" t="e">
        <f>AND(#REF!,"AAAAAH9z0ZQ=")</f>
        <v>#REF!</v>
      </c>
      <c r="ET33" t="e">
        <f>AND(#REF!,"AAAAAH9z0ZU=")</f>
        <v>#REF!</v>
      </c>
      <c r="EU33" t="e">
        <f>AND(#REF!,"AAAAAH9z0ZY=")</f>
        <v>#REF!</v>
      </c>
      <c r="EV33" t="e">
        <f>AND(#REF!,"AAAAAH9z0Zc=")</f>
        <v>#REF!</v>
      </c>
      <c r="EW33" t="e">
        <f>AND(#REF!,"AAAAAH9z0Zg=")</f>
        <v>#REF!</v>
      </c>
      <c r="EX33" t="e">
        <f>AND(#REF!,"AAAAAH9z0Zk=")</f>
        <v>#REF!</v>
      </c>
      <c r="EY33" t="e">
        <f>AND(#REF!,"AAAAAH9z0Zo=")</f>
        <v>#REF!</v>
      </c>
      <c r="EZ33" t="e">
        <f>AND(#REF!,"AAAAAH9z0Zs=")</f>
        <v>#REF!</v>
      </c>
      <c r="FA33" t="e">
        <f>AND(#REF!,"AAAAAH9z0Zw=")</f>
        <v>#REF!</v>
      </c>
      <c r="FB33" t="e">
        <f>AND(#REF!,"AAAAAH9z0Z0=")</f>
        <v>#REF!</v>
      </c>
      <c r="FC33" t="e">
        <f>AND(#REF!,"AAAAAH9z0Z4=")</f>
        <v>#REF!</v>
      </c>
      <c r="FD33" t="e">
        <f>AND(#REF!,"AAAAAH9z0Z8=")</f>
        <v>#REF!</v>
      </c>
      <c r="FE33" t="e">
        <f>AND(#REF!,"AAAAAH9z0aA=")</f>
        <v>#REF!</v>
      </c>
      <c r="FF33" t="e">
        <f>AND(#REF!,"AAAAAH9z0aE=")</f>
        <v>#REF!</v>
      </c>
      <c r="FG33" t="e">
        <f>AND(#REF!,"AAAAAH9z0aI=")</f>
        <v>#REF!</v>
      </c>
      <c r="FH33" t="e">
        <f>AND(#REF!,"AAAAAH9z0aM=")</f>
        <v>#REF!</v>
      </c>
      <c r="FI33" t="e">
        <f>AND(#REF!,"AAAAAH9z0aQ=")</f>
        <v>#REF!</v>
      </c>
      <c r="FJ33" t="e">
        <f>AND(#REF!,"AAAAAH9z0aU=")</f>
        <v>#REF!</v>
      </c>
      <c r="FK33" t="e">
        <f>AND(#REF!,"AAAAAH9z0aY=")</f>
        <v>#REF!</v>
      </c>
      <c r="FL33" t="e">
        <f>AND(#REF!,"AAAAAH9z0ac=")</f>
        <v>#REF!</v>
      </c>
      <c r="FM33" t="e">
        <f>AND(#REF!,"AAAAAH9z0ag=")</f>
        <v>#REF!</v>
      </c>
      <c r="FN33" t="e">
        <f>AND(#REF!,"AAAAAH9z0ak=")</f>
        <v>#REF!</v>
      </c>
      <c r="FO33" t="e">
        <f>AND(#REF!,"AAAAAH9z0ao=")</f>
        <v>#REF!</v>
      </c>
      <c r="FP33" t="e">
        <f>AND(#REF!,"AAAAAH9z0as=")</f>
        <v>#REF!</v>
      </c>
      <c r="FQ33" t="e">
        <f>AND(#REF!,"AAAAAH9z0aw=")</f>
        <v>#REF!</v>
      </c>
      <c r="FR33" t="e">
        <f>AND(#REF!,"AAAAAH9z0a0=")</f>
        <v>#REF!</v>
      </c>
      <c r="FS33" t="e">
        <f>AND(#REF!,"AAAAAH9z0a4=")</f>
        <v>#REF!</v>
      </c>
      <c r="FT33" t="e">
        <f>AND(#REF!,"AAAAAH9z0a8=")</f>
        <v>#REF!</v>
      </c>
      <c r="FU33" t="e">
        <f>AND(#REF!,"AAAAAH9z0bA=")</f>
        <v>#REF!</v>
      </c>
      <c r="FV33" t="e">
        <f>AND(#REF!,"AAAAAH9z0bE=")</f>
        <v>#REF!</v>
      </c>
      <c r="FW33" t="e">
        <f>AND(#REF!,"AAAAAH9z0bI=")</f>
        <v>#REF!</v>
      </c>
      <c r="FX33" t="e">
        <f>AND(#REF!,"AAAAAH9z0bM=")</f>
        <v>#REF!</v>
      </c>
      <c r="FY33" t="e">
        <f>AND(#REF!,"AAAAAH9z0bQ=")</f>
        <v>#REF!</v>
      </c>
      <c r="FZ33" t="e">
        <f>AND(#REF!,"AAAAAH9z0bU=")</f>
        <v>#REF!</v>
      </c>
      <c r="GA33" t="e">
        <f>AND(#REF!,"AAAAAH9z0bY=")</f>
        <v>#REF!</v>
      </c>
      <c r="GB33" t="e">
        <f>AND(#REF!,"AAAAAH9z0bc=")</f>
        <v>#REF!</v>
      </c>
      <c r="GC33" t="e">
        <f>AND(#REF!,"AAAAAH9z0bg=")</f>
        <v>#REF!</v>
      </c>
      <c r="GD33" t="e">
        <f>AND(#REF!,"AAAAAH9z0bk=")</f>
        <v>#REF!</v>
      </c>
      <c r="GE33" t="e">
        <f>AND(#REF!,"AAAAAH9z0bo=")</f>
        <v>#REF!</v>
      </c>
      <c r="GF33" t="e">
        <f>IF(#REF!,"AAAAAH9z0bs=",0)</f>
        <v>#REF!</v>
      </c>
      <c r="GG33" t="e">
        <f>AND(#REF!,"AAAAAH9z0bw=")</f>
        <v>#REF!</v>
      </c>
      <c r="GH33" t="e">
        <f>AND(#REF!,"AAAAAH9z0b0=")</f>
        <v>#REF!</v>
      </c>
      <c r="GI33" t="e">
        <f>AND(#REF!,"AAAAAH9z0b4=")</f>
        <v>#REF!</v>
      </c>
      <c r="GJ33" t="e">
        <f>AND(#REF!,"AAAAAH9z0b8=")</f>
        <v>#REF!</v>
      </c>
      <c r="GK33" t="e">
        <f>AND(#REF!,"AAAAAH9z0cA=")</f>
        <v>#REF!</v>
      </c>
      <c r="GL33" t="e">
        <f>AND(#REF!,"AAAAAH9z0cE=")</f>
        <v>#REF!</v>
      </c>
      <c r="GM33" t="e">
        <f>AND(#REF!,"AAAAAH9z0cI=")</f>
        <v>#REF!</v>
      </c>
      <c r="GN33" t="e">
        <f>AND(#REF!,"AAAAAH9z0cM=")</f>
        <v>#REF!</v>
      </c>
      <c r="GO33" t="e">
        <f>AND(#REF!,"AAAAAH9z0cQ=")</f>
        <v>#REF!</v>
      </c>
      <c r="GP33" t="e">
        <f>AND(#REF!,"AAAAAH9z0cU=")</f>
        <v>#REF!</v>
      </c>
      <c r="GQ33" t="e">
        <f>AND(#REF!,"AAAAAH9z0cY=")</f>
        <v>#REF!</v>
      </c>
      <c r="GR33" t="e">
        <f>AND(#REF!,"AAAAAH9z0cc=")</f>
        <v>#REF!</v>
      </c>
      <c r="GS33" t="e">
        <f>AND(#REF!,"AAAAAH9z0cg=")</f>
        <v>#REF!</v>
      </c>
      <c r="GT33" t="e">
        <f>AND(#REF!,"AAAAAH9z0ck=")</f>
        <v>#REF!</v>
      </c>
      <c r="GU33" t="e">
        <f>AND(#REF!,"AAAAAH9z0co=")</f>
        <v>#REF!</v>
      </c>
      <c r="GV33" t="e">
        <f>AND(#REF!,"AAAAAH9z0cs=")</f>
        <v>#REF!</v>
      </c>
      <c r="GW33" t="e">
        <f>AND(#REF!,"AAAAAH9z0cw=")</f>
        <v>#REF!</v>
      </c>
      <c r="GX33" t="e">
        <f>AND(#REF!,"AAAAAH9z0c0=")</f>
        <v>#REF!</v>
      </c>
      <c r="GY33" t="e">
        <f>AND(#REF!,"AAAAAH9z0c4=")</f>
        <v>#REF!</v>
      </c>
      <c r="GZ33" t="e">
        <f>AND(#REF!,"AAAAAH9z0c8=")</f>
        <v>#REF!</v>
      </c>
      <c r="HA33" t="e">
        <f>AND(#REF!,"AAAAAH9z0dA=")</f>
        <v>#REF!</v>
      </c>
      <c r="HB33" t="e">
        <f>AND(#REF!,"AAAAAH9z0dE=")</f>
        <v>#REF!</v>
      </c>
      <c r="HC33" t="e">
        <f>AND(#REF!,"AAAAAH9z0dI=")</f>
        <v>#REF!</v>
      </c>
      <c r="HD33" t="e">
        <f>AND(#REF!,"AAAAAH9z0dM=")</f>
        <v>#REF!</v>
      </c>
      <c r="HE33" t="e">
        <f>AND(#REF!,"AAAAAH9z0dQ=")</f>
        <v>#REF!</v>
      </c>
      <c r="HF33" t="e">
        <f>AND(#REF!,"AAAAAH9z0dU=")</f>
        <v>#REF!</v>
      </c>
      <c r="HG33" t="e">
        <f>AND(#REF!,"AAAAAH9z0dY=")</f>
        <v>#REF!</v>
      </c>
      <c r="HH33" t="e">
        <f>AND(#REF!,"AAAAAH9z0dc=")</f>
        <v>#REF!</v>
      </c>
      <c r="HI33" t="e">
        <f>AND(#REF!,"AAAAAH9z0dg=")</f>
        <v>#REF!</v>
      </c>
      <c r="HJ33" t="e">
        <f>AND(#REF!,"AAAAAH9z0dk=")</f>
        <v>#REF!</v>
      </c>
      <c r="HK33" t="e">
        <f>AND(#REF!,"AAAAAH9z0do=")</f>
        <v>#REF!</v>
      </c>
      <c r="HL33" t="e">
        <f>AND(#REF!,"AAAAAH9z0ds=")</f>
        <v>#REF!</v>
      </c>
      <c r="HM33" t="e">
        <f>AND(#REF!,"AAAAAH9z0dw=")</f>
        <v>#REF!</v>
      </c>
      <c r="HN33" t="e">
        <f>AND(#REF!,"AAAAAH9z0d0=")</f>
        <v>#REF!</v>
      </c>
      <c r="HO33" t="e">
        <f>AND(#REF!,"AAAAAH9z0d4=")</f>
        <v>#REF!</v>
      </c>
      <c r="HP33" t="e">
        <f>AND(#REF!,"AAAAAH9z0d8=")</f>
        <v>#REF!</v>
      </c>
      <c r="HQ33" t="e">
        <f>AND(#REF!,"AAAAAH9z0eA=")</f>
        <v>#REF!</v>
      </c>
      <c r="HR33" t="e">
        <f>AND(#REF!,"AAAAAH9z0eE=")</f>
        <v>#REF!</v>
      </c>
      <c r="HS33" t="e">
        <f>AND(#REF!,"AAAAAH9z0eI=")</f>
        <v>#REF!</v>
      </c>
      <c r="HT33" t="e">
        <f>IF(#REF!,"AAAAAH9z0eM=",0)</f>
        <v>#REF!</v>
      </c>
      <c r="HU33" t="e">
        <f>AND(#REF!,"AAAAAH9z0eQ=")</f>
        <v>#REF!</v>
      </c>
      <c r="HV33" t="e">
        <f>AND(#REF!,"AAAAAH9z0eU=")</f>
        <v>#REF!</v>
      </c>
      <c r="HW33" t="e">
        <f>AND(#REF!,"AAAAAH9z0eY=")</f>
        <v>#REF!</v>
      </c>
      <c r="HX33" t="e">
        <f>AND(#REF!,"AAAAAH9z0ec=")</f>
        <v>#REF!</v>
      </c>
      <c r="HY33" t="e">
        <f>AND(#REF!,"AAAAAH9z0eg=")</f>
        <v>#REF!</v>
      </c>
      <c r="HZ33" t="e">
        <f>AND(#REF!,"AAAAAH9z0ek=")</f>
        <v>#REF!</v>
      </c>
      <c r="IA33" t="e">
        <f>AND(#REF!,"AAAAAH9z0eo=")</f>
        <v>#REF!</v>
      </c>
      <c r="IB33" t="e">
        <f>AND(#REF!,"AAAAAH9z0es=")</f>
        <v>#REF!</v>
      </c>
      <c r="IC33" t="e">
        <f>AND(#REF!,"AAAAAH9z0ew=")</f>
        <v>#REF!</v>
      </c>
      <c r="ID33" t="e">
        <f>AND(#REF!,"AAAAAH9z0e0=")</f>
        <v>#REF!</v>
      </c>
      <c r="IE33" t="e">
        <f>AND(#REF!,"AAAAAH9z0e4=")</f>
        <v>#REF!</v>
      </c>
      <c r="IF33" t="e">
        <f>AND(#REF!,"AAAAAH9z0e8=")</f>
        <v>#REF!</v>
      </c>
      <c r="IG33" t="e">
        <f>AND(#REF!,"AAAAAH9z0fA=")</f>
        <v>#REF!</v>
      </c>
      <c r="IH33" t="e">
        <f>AND(#REF!,"AAAAAH9z0fE=")</f>
        <v>#REF!</v>
      </c>
      <c r="II33" t="e">
        <f>AND(#REF!,"AAAAAH9z0fI=")</f>
        <v>#REF!</v>
      </c>
      <c r="IJ33" t="e">
        <f>AND(#REF!,"AAAAAH9z0fM=")</f>
        <v>#REF!</v>
      </c>
      <c r="IK33" t="e">
        <f>AND(#REF!,"AAAAAH9z0fQ=")</f>
        <v>#REF!</v>
      </c>
      <c r="IL33" t="e">
        <f>AND(#REF!,"AAAAAH9z0fU=")</f>
        <v>#REF!</v>
      </c>
      <c r="IM33" t="e">
        <f>AND(#REF!,"AAAAAH9z0fY=")</f>
        <v>#REF!</v>
      </c>
      <c r="IN33" t="e">
        <f>AND(#REF!,"AAAAAH9z0fc=")</f>
        <v>#REF!</v>
      </c>
      <c r="IO33" t="e">
        <f>AND(#REF!,"AAAAAH9z0fg=")</f>
        <v>#REF!</v>
      </c>
      <c r="IP33" t="e">
        <f>AND(#REF!,"AAAAAH9z0fk=")</f>
        <v>#REF!</v>
      </c>
      <c r="IQ33" t="e">
        <f>AND(#REF!,"AAAAAH9z0fo=")</f>
        <v>#REF!</v>
      </c>
      <c r="IR33" t="e">
        <f>AND(#REF!,"AAAAAH9z0fs=")</f>
        <v>#REF!</v>
      </c>
      <c r="IS33" t="e">
        <f>AND(#REF!,"AAAAAH9z0fw=")</f>
        <v>#REF!</v>
      </c>
      <c r="IT33" t="e">
        <f>AND(#REF!,"AAAAAH9z0f0=")</f>
        <v>#REF!</v>
      </c>
      <c r="IU33" t="e">
        <f>AND(#REF!,"AAAAAH9z0f4=")</f>
        <v>#REF!</v>
      </c>
      <c r="IV33" t="e">
        <f>AND(#REF!,"AAAAAH9z0f8=")</f>
        <v>#REF!</v>
      </c>
    </row>
    <row r="34" spans="1:256" x14ac:dyDescent="0.35">
      <c r="A34" t="e">
        <f>AND(#REF!,"AAAAAHct/wA=")</f>
        <v>#REF!</v>
      </c>
      <c r="B34" t="e">
        <f>AND(#REF!,"AAAAAHct/wE=")</f>
        <v>#REF!</v>
      </c>
      <c r="C34" t="e">
        <f>AND(#REF!,"AAAAAHct/wI=")</f>
        <v>#REF!</v>
      </c>
      <c r="D34" t="e">
        <f>AND(#REF!,"AAAAAHct/wM=")</f>
        <v>#REF!</v>
      </c>
      <c r="E34" t="e">
        <f>AND(#REF!,"AAAAAHct/wQ=")</f>
        <v>#REF!</v>
      </c>
      <c r="F34" t="e">
        <f>AND(#REF!,"AAAAAHct/wU=")</f>
        <v>#REF!</v>
      </c>
      <c r="G34" t="e">
        <f>AND(#REF!,"AAAAAHct/wY=")</f>
        <v>#REF!</v>
      </c>
      <c r="H34" t="e">
        <f>AND(#REF!,"AAAAAHct/wc=")</f>
        <v>#REF!</v>
      </c>
      <c r="I34" t="e">
        <f>AND(#REF!,"AAAAAHct/wg=")</f>
        <v>#REF!</v>
      </c>
      <c r="J34" t="e">
        <f>AND(#REF!,"AAAAAHct/wk=")</f>
        <v>#REF!</v>
      </c>
      <c r="K34" t="e">
        <f>AND(#REF!,"AAAAAHct/wo=")</f>
        <v>#REF!</v>
      </c>
      <c r="L34" t="e">
        <f>IF(#REF!,"AAAAAHct/ws=",0)</f>
        <v>#REF!</v>
      </c>
      <c r="M34" t="e">
        <f>AND(#REF!,"AAAAAHct/ww=")</f>
        <v>#REF!</v>
      </c>
      <c r="N34" t="e">
        <f>AND(#REF!,"AAAAAHct/w0=")</f>
        <v>#REF!</v>
      </c>
      <c r="O34" t="e">
        <f>AND(#REF!,"AAAAAHct/w4=")</f>
        <v>#REF!</v>
      </c>
      <c r="P34" t="e">
        <f>AND(#REF!,"AAAAAHct/w8=")</f>
        <v>#REF!</v>
      </c>
      <c r="Q34" t="e">
        <f>AND(#REF!,"AAAAAHct/xA=")</f>
        <v>#REF!</v>
      </c>
      <c r="R34" t="e">
        <f>AND(#REF!,"AAAAAHct/xE=")</f>
        <v>#REF!</v>
      </c>
      <c r="S34" t="e">
        <f>AND(#REF!,"AAAAAHct/xI=")</f>
        <v>#REF!</v>
      </c>
      <c r="T34" t="e">
        <f>AND(#REF!,"AAAAAHct/xM=")</f>
        <v>#REF!</v>
      </c>
      <c r="U34" t="e">
        <f>AND(#REF!,"AAAAAHct/xQ=")</f>
        <v>#REF!</v>
      </c>
      <c r="V34" t="e">
        <f>AND(#REF!,"AAAAAHct/xU=")</f>
        <v>#REF!</v>
      </c>
      <c r="W34" t="e">
        <f>AND(#REF!,"AAAAAHct/xY=")</f>
        <v>#REF!</v>
      </c>
      <c r="X34" t="e">
        <f>AND(#REF!,"AAAAAHct/xc=")</f>
        <v>#REF!</v>
      </c>
      <c r="Y34" t="e">
        <f>AND(#REF!,"AAAAAHct/xg=")</f>
        <v>#REF!</v>
      </c>
      <c r="Z34" t="e">
        <f>AND(#REF!,"AAAAAHct/xk=")</f>
        <v>#REF!</v>
      </c>
      <c r="AA34" t="e">
        <f>AND(#REF!,"AAAAAHct/xo=")</f>
        <v>#REF!</v>
      </c>
      <c r="AB34" t="e">
        <f>AND(#REF!,"AAAAAHct/xs=")</f>
        <v>#REF!</v>
      </c>
      <c r="AC34" t="e">
        <f>AND(#REF!,"AAAAAHct/xw=")</f>
        <v>#REF!</v>
      </c>
      <c r="AD34" t="e">
        <f>AND(#REF!,"AAAAAHct/x0=")</f>
        <v>#REF!</v>
      </c>
      <c r="AE34" t="e">
        <f>AND(#REF!,"AAAAAHct/x4=")</f>
        <v>#REF!</v>
      </c>
      <c r="AF34" t="e">
        <f>AND(#REF!,"AAAAAHct/x8=")</f>
        <v>#REF!</v>
      </c>
      <c r="AG34" t="e">
        <f>AND(#REF!,"AAAAAHct/yA=")</f>
        <v>#REF!</v>
      </c>
      <c r="AH34" t="e">
        <f>AND(#REF!,"AAAAAHct/yE=")</f>
        <v>#REF!</v>
      </c>
      <c r="AI34" t="e">
        <f>AND(#REF!,"AAAAAHct/yI=")</f>
        <v>#REF!</v>
      </c>
      <c r="AJ34" t="e">
        <f>AND(#REF!,"AAAAAHct/yM=")</f>
        <v>#REF!</v>
      </c>
      <c r="AK34" t="e">
        <f>AND(#REF!,"AAAAAHct/yQ=")</f>
        <v>#REF!</v>
      </c>
      <c r="AL34" t="e">
        <f>AND(#REF!,"AAAAAHct/yU=")</f>
        <v>#REF!</v>
      </c>
      <c r="AM34" t="e">
        <f>AND(#REF!,"AAAAAHct/yY=")</f>
        <v>#REF!</v>
      </c>
      <c r="AN34" t="e">
        <f>AND(#REF!,"AAAAAHct/yc=")</f>
        <v>#REF!</v>
      </c>
      <c r="AO34" t="e">
        <f>AND(#REF!,"AAAAAHct/yg=")</f>
        <v>#REF!</v>
      </c>
      <c r="AP34" t="e">
        <f>AND(#REF!,"AAAAAHct/yk=")</f>
        <v>#REF!</v>
      </c>
      <c r="AQ34" t="e">
        <f>AND(#REF!,"AAAAAHct/yo=")</f>
        <v>#REF!</v>
      </c>
      <c r="AR34" t="e">
        <f>AND(#REF!,"AAAAAHct/ys=")</f>
        <v>#REF!</v>
      </c>
      <c r="AS34" t="e">
        <f>AND(#REF!,"AAAAAHct/yw=")</f>
        <v>#REF!</v>
      </c>
      <c r="AT34" t="e">
        <f>AND(#REF!,"AAAAAHct/y0=")</f>
        <v>#REF!</v>
      </c>
      <c r="AU34" t="e">
        <f>AND(#REF!,"AAAAAHct/y4=")</f>
        <v>#REF!</v>
      </c>
      <c r="AV34" t="e">
        <f>AND(#REF!,"AAAAAHct/y8=")</f>
        <v>#REF!</v>
      </c>
      <c r="AW34" t="e">
        <f>AND(#REF!,"AAAAAHct/zA=")</f>
        <v>#REF!</v>
      </c>
      <c r="AX34" t="e">
        <f>AND(#REF!,"AAAAAHct/zE=")</f>
        <v>#REF!</v>
      </c>
      <c r="AY34" t="e">
        <f>AND(#REF!,"AAAAAHct/zI=")</f>
        <v>#REF!</v>
      </c>
      <c r="AZ34" t="e">
        <f>IF(#REF!,"AAAAAHct/zM=",0)</f>
        <v>#REF!</v>
      </c>
      <c r="BA34" t="e">
        <f>AND(#REF!,"AAAAAHct/zQ=")</f>
        <v>#REF!</v>
      </c>
      <c r="BB34" t="e">
        <f>AND(#REF!,"AAAAAHct/zU=")</f>
        <v>#REF!</v>
      </c>
      <c r="BC34" t="e">
        <f>AND(#REF!,"AAAAAHct/zY=")</f>
        <v>#REF!</v>
      </c>
      <c r="BD34" t="e">
        <f>AND(#REF!,"AAAAAHct/zc=")</f>
        <v>#REF!</v>
      </c>
      <c r="BE34" t="e">
        <f>AND(#REF!,"AAAAAHct/zg=")</f>
        <v>#REF!</v>
      </c>
      <c r="BF34" t="e">
        <f>AND(#REF!,"AAAAAHct/zk=")</f>
        <v>#REF!</v>
      </c>
      <c r="BG34" t="e">
        <f>AND(#REF!,"AAAAAHct/zo=")</f>
        <v>#REF!</v>
      </c>
      <c r="BH34" t="e">
        <f>AND(#REF!,"AAAAAHct/zs=")</f>
        <v>#REF!</v>
      </c>
      <c r="BI34" t="e">
        <f>AND(#REF!,"AAAAAHct/zw=")</f>
        <v>#REF!</v>
      </c>
      <c r="BJ34" t="e">
        <f>AND(#REF!,"AAAAAHct/z0=")</f>
        <v>#REF!</v>
      </c>
      <c r="BK34" t="e">
        <f>AND(#REF!,"AAAAAHct/z4=")</f>
        <v>#REF!</v>
      </c>
      <c r="BL34" t="e">
        <f>AND(#REF!,"AAAAAHct/z8=")</f>
        <v>#REF!</v>
      </c>
      <c r="BM34" t="e">
        <f>AND(#REF!,"AAAAAHct/0A=")</f>
        <v>#REF!</v>
      </c>
      <c r="BN34" t="e">
        <f>AND(#REF!,"AAAAAHct/0E=")</f>
        <v>#REF!</v>
      </c>
      <c r="BO34" t="e">
        <f>AND(#REF!,"AAAAAHct/0I=")</f>
        <v>#REF!</v>
      </c>
      <c r="BP34" t="e">
        <f>AND(#REF!,"AAAAAHct/0M=")</f>
        <v>#REF!</v>
      </c>
      <c r="BQ34" t="e">
        <f>AND(#REF!,"AAAAAHct/0Q=")</f>
        <v>#REF!</v>
      </c>
      <c r="BR34" t="e">
        <f>AND(#REF!,"AAAAAHct/0U=")</f>
        <v>#REF!</v>
      </c>
      <c r="BS34" t="e">
        <f>AND(#REF!,"AAAAAHct/0Y=")</f>
        <v>#REF!</v>
      </c>
      <c r="BT34" t="e">
        <f>AND(#REF!,"AAAAAHct/0c=")</f>
        <v>#REF!</v>
      </c>
      <c r="BU34" t="e">
        <f>AND(#REF!,"AAAAAHct/0g=")</f>
        <v>#REF!</v>
      </c>
      <c r="BV34" t="e">
        <f>AND(#REF!,"AAAAAHct/0k=")</f>
        <v>#REF!</v>
      </c>
      <c r="BW34" t="e">
        <f>AND(#REF!,"AAAAAHct/0o=")</f>
        <v>#REF!</v>
      </c>
      <c r="BX34" t="e">
        <f>AND(#REF!,"AAAAAHct/0s=")</f>
        <v>#REF!</v>
      </c>
      <c r="BY34" t="e">
        <f>AND(#REF!,"AAAAAHct/0w=")</f>
        <v>#REF!</v>
      </c>
      <c r="BZ34" t="e">
        <f>AND(#REF!,"AAAAAHct/00=")</f>
        <v>#REF!</v>
      </c>
      <c r="CA34" t="e">
        <f>AND(#REF!,"AAAAAHct/04=")</f>
        <v>#REF!</v>
      </c>
      <c r="CB34" t="e">
        <f>AND(#REF!,"AAAAAHct/08=")</f>
        <v>#REF!</v>
      </c>
      <c r="CC34" t="e">
        <f>AND(#REF!,"AAAAAHct/1A=")</f>
        <v>#REF!</v>
      </c>
      <c r="CD34" t="e">
        <f>AND(#REF!,"AAAAAHct/1E=")</f>
        <v>#REF!</v>
      </c>
      <c r="CE34" t="e">
        <f>AND(#REF!,"AAAAAHct/1I=")</f>
        <v>#REF!</v>
      </c>
      <c r="CF34" t="e">
        <f>AND(#REF!,"AAAAAHct/1M=")</f>
        <v>#REF!</v>
      </c>
      <c r="CG34" t="e">
        <f>AND(#REF!,"AAAAAHct/1Q=")</f>
        <v>#REF!</v>
      </c>
      <c r="CH34" t="e">
        <f>AND(#REF!,"AAAAAHct/1U=")</f>
        <v>#REF!</v>
      </c>
      <c r="CI34" t="e">
        <f>AND(#REF!,"AAAAAHct/1Y=")</f>
        <v>#REF!</v>
      </c>
      <c r="CJ34" t="e">
        <f>AND(#REF!,"AAAAAHct/1c=")</f>
        <v>#REF!</v>
      </c>
      <c r="CK34" t="e">
        <f>AND(#REF!,"AAAAAHct/1g=")</f>
        <v>#REF!</v>
      </c>
      <c r="CL34" t="e">
        <f>AND(#REF!,"AAAAAHct/1k=")</f>
        <v>#REF!</v>
      </c>
      <c r="CM34" t="e">
        <f>AND(#REF!,"AAAAAHct/1o=")</f>
        <v>#REF!</v>
      </c>
      <c r="CN34" t="e">
        <f>IF(#REF!,"AAAAAHct/1s=",0)</f>
        <v>#REF!</v>
      </c>
      <c r="CO34" t="e">
        <f>AND(#REF!,"AAAAAHct/1w=")</f>
        <v>#REF!</v>
      </c>
      <c r="CP34" t="e">
        <f>AND(#REF!,"AAAAAHct/10=")</f>
        <v>#REF!</v>
      </c>
      <c r="CQ34" t="e">
        <f>AND(#REF!,"AAAAAHct/14=")</f>
        <v>#REF!</v>
      </c>
      <c r="CR34" t="e">
        <f>AND(#REF!,"AAAAAHct/18=")</f>
        <v>#REF!</v>
      </c>
      <c r="CS34" t="e">
        <f>AND(#REF!,"AAAAAHct/2A=")</f>
        <v>#REF!</v>
      </c>
      <c r="CT34" t="e">
        <f>AND(#REF!,"AAAAAHct/2E=")</f>
        <v>#REF!</v>
      </c>
      <c r="CU34" t="e">
        <f>AND(#REF!,"AAAAAHct/2I=")</f>
        <v>#REF!</v>
      </c>
      <c r="CV34" t="e">
        <f>AND(#REF!,"AAAAAHct/2M=")</f>
        <v>#REF!</v>
      </c>
      <c r="CW34" t="e">
        <f>AND(#REF!,"AAAAAHct/2Q=")</f>
        <v>#REF!</v>
      </c>
      <c r="CX34" t="e">
        <f>AND(#REF!,"AAAAAHct/2U=")</f>
        <v>#REF!</v>
      </c>
      <c r="CY34" t="e">
        <f>AND(#REF!,"AAAAAHct/2Y=")</f>
        <v>#REF!</v>
      </c>
      <c r="CZ34" t="e">
        <f>AND(#REF!,"AAAAAHct/2c=")</f>
        <v>#REF!</v>
      </c>
      <c r="DA34" t="e">
        <f>AND(#REF!,"AAAAAHct/2g=")</f>
        <v>#REF!</v>
      </c>
      <c r="DB34" t="e">
        <f>AND(#REF!,"AAAAAHct/2k=")</f>
        <v>#REF!</v>
      </c>
      <c r="DC34" t="e">
        <f>AND(#REF!,"AAAAAHct/2o=")</f>
        <v>#REF!</v>
      </c>
      <c r="DD34" t="e">
        <f>AND(#REF!,"AAAAAHct/2s=")</f>
        <v>#REF!</v>
      </c>
      <c r="DE34" t="e">
        <f>AND(#REF!,"AAAAAHct/2w=")</f>
        <v>#REF!</v>
      </c>
      <c r="DF34" t="e">
        <f>AND(#REF!,"AAAAAHct/20=")</f>
        <v>#REF!</v>
      </c>
      <c r="DG34" t="e">
        <f>AND(#REF!,"AAAAAHct/24=")</f>
        <v>#REF!</v>
      </c>
      <c r="DH34" t="e">
        <f>AND(#REF!,"AAAAAHct/28=")</f>
        <v>#REF!</v>
      </c>
      <c r="DI34" t="e">
        <f>AND(#REF!,"AAAAAHct/3A=")</f>
        <v>#REF!</v>
      </c>
      <c r="DJ34" t="e">
        <f>AND(#REF!,"AAAAAHct/3E=")</f>
        <v>#REF!</v>
      </c>
      <c r="DK34" t="e">
        <f>AND(#REF!,"AAAAAHct/3I=")</f>
        <v>#REF!</v>
      </c>
      <c r="DL34" t="e">
        <f>AND(#REF!,"AAAAAHct/3M=")</f>
        <v>#REF!</v>
      </c>
      <c r="DM34" t="e">
        <f>AND(#REF!,"AAAAAHct/3Q=")</f>
        <v>#REF!</v>
      </c>
      <c r="DN34" t="e">
        <f>AND(#REF!,"AAAAAHct/3U=")</f>
        <v>#REF!</v>
      </c>
      <c r="DO34" t="e">
        <f>AND(#REF!,"AAAAAHct/3Y=")</f>
        <v>#REF!</v>
      </c>
      <c r="DP34" t="e">
        <f>AND(#REF!,"AAAAAHct/3c=")</f>
        <v>#REF!</v>
      </c>
      <c r="DQ34" t="e">
        <f>AND(#REF!,"AAAAAHct/3g=")</f>
        <v>#REF!</v>
      </c>
      <c r="DR34" t="e">
        <f>AND(#REF!,"AAAAAHct/3k=")</f>
        <v>#REF!</v>
      </c>
      <c r="DS34" t="e">
        <f>AND(#REF!,"AAAAAHct/3o=")</f>
        <v>#REF!</v>
      </c>
      <c r="DT34" t="e">
        <f>AND(#REF!,"AAAAAHct/3s=")</f>
        <v>#REF!</v>
      </c>
      <c r="DU34" t="e">
        <f>AND(#REF!,"AAAAAHct/3w=")</f>
        <v>#REF!</v>
      </c>
      <c r="DV34" t="e">
        <f>AND(#REF!,"AAAAAHct/30=")</f>
        <v>#REF!</v>
      </c>
      <c r="DW34" t="e">
        <f>AND(#REF!,"AAAAAHct/34=")</f>
        <v>#REF!</v>
      </c>
      <c r="DX34" t="e">
        <f>AND(#REF!,"AAAAAHct/38=")</f>
        <v>#REF!</v>
      </c>
      <c r="DY34" t="e">
        <f>AND(#REF!,"AAAAAHct/4A=")</f>
        <v>#REF!</v>
      </c>
      <c r="DZ34" t="e">
        <f>AND(#REF!,"AAAAAHct/4E=")</f>
        <v>#REF!</v>
      </c>
      <c r="EA34" t="e">
        <f>AND(#REF!,"AAAAAHct/4I=")</f>
        <v>#REF!</v>
      </c>
      <c r="EB34" t="e">
        <f>IF(#REF!,"AAAAAHct/4M=",0)</f>
        <v>#REF!</v>
      </c>
      <c r="EC34" t="e">
        <f>AND(#REF!,"AAAAAHct/4Q=")</f>
        <v>#REF!</v>
      </c>
      <c r="ED34" t="e">
        <f>AND(#REF!,"AAAAAHct/4U=")</f>
        <v>#REF!</v>
      </c>
      <c r="EE34" t="e">
        <f>AND(#REF!,"AAAAAHct/4Y=")</f>
        <v>#REF!</v>
      </c>
      <c r="EF34" t="e">
        <f>AND(#REF!,"AAAAAHct/4c=")</f>
        <v>#REF!</v>
      </c>
      <c r="EG34" t="e">
        <f>AND(#REF!,"AAAAAHct/4g=")</f>
        <v>#REF!</v>
      </c>
      <c r="EH34" t="e">
        <f>AND(#REF!,"AAAAAHct/4k=")</f>
        <v>#REF!</v>
      </c>
      <c r="EI34" t="e">
        <f>AND(#REF!,"AAAAAHct/4o=")</f>
        <v>#REF!</v>
      </c>
      <c r="EJ34" t="e">
        <f>AND(#REF!,"AAAAAHct/4s=")</f>
        <v>#REF!</v>
      </c>
      <c r="EK34" t="e">
        <f>AND(#REF!,"AAAAAHct/4w=")</f>
        <v>#REF!</v>
      </c>
      <c r="EL34" t="e">
        <f>AND(#REF!,"AAAAAHct/40=")</f>
        <v>#REF!</v>
      </c>
      <c r="EM34" t="e">
        <f>AND(#REF!,"AAAAAHct/44=")</f>
        <v>#REF!</v>
      </c>
      <c r="EN34" t="e">
        <f>AND(#REF!,"AAAAAHct/48=")</f>
        <v>#REF!</v>
      </c>
      <c r="EO34" t="e">
        <f>AND(#REF!,"AAAAAHct/5A=")</f>
        <v>#REF!</v>
      </c>
      <c r="EP34" t="e">
        <f>AND(#REF!,"AAAAAHct/5E=")</f>
        <v>#REF!</v>
      </c>
      <c r="EQ34" t="e">
        <f>AND(#REF!,"AAAAAHct/5I=")</f>
        <v>#REF!</v>
      </c>
      <c r="ER34" t="e">
        <f>AND(#REF!,"AAAAAHct/5M=")</f>
        <v>#REF!</v>
      </c>
      <c r="ES34" t="e">
        <f>AND(#REF!,"AAAAAHct/5Q=")</f>
        <v>#REF!</v>
      </c>
      <c r="ET34" t="e">
        <f>AND(#REF!,"AAAAAHct/5U=")</f>
        <v>#REF!</v>
      </c>
      <c r="EU34" t="e">
        <f>AND(#REF!,"AAAAAHct/5Y=")</f>
        <v>#REF!</v>
      </c>
      <c r="EV34" t="e">
        <f>AND(#REF!,"AAAAAHct/5c=")</f>
        <v>#REF!</v>
      </c>
      <c r="EW34" t="e">
        <f>AND(#REF!,"AAAAAHct/5g=")</f>
        <v>#REF!</v>
      </c>
      <c r="EX34" t="e">
        <f>AND(#REF!,"AAAAAHct/5k=")</f>
        <v>#REF!</v>
      </c>
      <c r="EY34" t="e">
        <f>AND(#REF!,"AAAAAHct/5o=")</f>
        <v>#REF!</v>
      </c>
      <c r="EZ34" t="e">
        <f>AND(#REF!,"AAAAAHct/5s=")</f>
        <v>#REF!</v>
      </c>
      <c r="FA34" t="e">
        <f>AND(#REF!,"AAAAAHct/5w=")</f>
        <v>#REF!</v>
      </c>
      <c r="FB34" t="e">
        <f>AND(#REF!,"AAAAAHct/50=")</f>
        <v>#REF!</v>
      </c>
      <c r="FC34" t="e">
        <f>AND(#REF!,"AAAAAHct/54=")</f>
        <v>#REF!</v>
      </c>
      <c r="FD34" t="e">
        <f>AND(#REF!,"AAAAAHct/58=")</f>
        <v>#REF!</v>
      </c>
      <c r="FE34" t="e">
        <f>AND(#REF!,"AAAAAHct/6A=")</f>
        <v>#REF!</v>
      </c>
      <c r="FF34" t="e">
        <f>AND(#REF!,"AAAAAHct/6E=")</f>
        <v>#REF!</v>
      </c>
      <c r="FG34" t="e">
        <f>AND(#REF!,"AAAAAHct/6I=")</f>
        <v>#REF!</v>
      </c>
      <c r="FH34" t="e">
        <f>AND(#REF!,"AAAAAHct/6M=")</f>
        <v>#REF!</v>
      </c>
      <c r="FI34" t="e">
        <f>AND(#REF!,"AAAAAHct/6Q=")</f>
        <v>#REF!</v>
      </c>
      <c r="FJ34" t="e">
        <f>AND(#REF!,"AAAAAHct/6U=")</f>
        <v>#REF!</v>
      </c>
      <c r="FK34" t="e">
        <f>AND(#REF!,"AAAAAHct/6Y=")</f>
        <v>#REF!</v>
      </c>
      <c r="FL34" t="e">
        <f>AND(#REF!,"AAAAAHct/6c=")</f>
        <v>#REF!</v>
      </c>
      <c r="FM34" t="e">
        <f>AND(#REF!,"AAAAAHct/6g=")</f>
        <v>#REF!</v>
      </c>
      <c r="FN34" t="e">
        <f>AND(#REF!,"AAAAAHct/6k=")</f>
        <v>#REF!</v>
      </c>
      <c r="FO34" t="e">
        <f>AND(#REF!,"AAAAAHct/6o=")</f>
        <v>#REF!</v>
      </c>
      <c r="FP34" t="e">
        <f>IF(#REF!,"AAAAAHct/6s=",0)</f>
        <v>#REF!</v>
      </c>
      <c r="FQ34" t="e">
        <f>AND(#REF!,"AAAAAHct/6w=")</f>
        <v>#REF!</v>
      </c>
      <c r="FR34" t="e">
        <f>AND(#REF!,"AAAAAHct/60=")</f>
        <v>#REF!</v>
      </c>
      <c r="FS34" t="e">
        <f>AND(#REF!,"AAAAAHct/64=")</f>
        <v>#REF!</v>
      </c>
      <c r="FT34" t="e">
        <f>AND(#REF!,"AAAAAHct/68=")</f>
        <v>#REF!</v>
      </c>
      <c r="FU34" t="e">
        <f>AND(#REF!,"AAAAAHct/7A=")</f>
        <v>#REF!</v>
      </c>
      <c r="FV34" t="e">
        <f>AND(#REF!,"AAAAAHct/7E=")</f>
        <v>#REF!</v>
      </c>
      <c r="FW34" t="e">
        <f>AND(#REF!,"AAAAAHct/7I=")</f>
        <v>#REF!</v>
      </c>
      <c r="FX34" t="e">
        <f>AND(#REF!,"AAAAAHct/7M=")</f>
        <v>#REF!</v>
      </c>
      <c r="FY34" t="e">
        <f>AND(#REF!,"AAAAAHct/7Q=")</f>
        <v>#REF!</v>
      </c>
      <c r="FZ34" t="e">
        <f>AND(#REF!,"AAAAAHct/7U=")</f>
        <v>#REF!</v>
      </c>
      <c r="GA34" t="e">
        <f>AND(#REF!,"AAAAAHct/7Y=")</f>
        <v>#REF!</v>
      </c>
      <c r="GB34" t="e">
        <f>AND(#REF!,"AAAAAHct/7c=")</f>
        <v>#REF!</v>
      </c>
      <c r="GC34" t="e">
        <f>AND(#REF!,"AAAAAHct/7g=")</f>
        <v>#REF!</v>
      </c>
      <c r="GD34" t="e">
        <f>AND(#REF!,"AAAAAHct/7k=")</f>
        <v>#REF!</v>
      </c>
      <c r="GE34" t="e">
        <f>AND(#REF!,"AAAAAHct/7o=")</f>
        <v>#REF!</v>
      </c>
      <c r="GF34" t="e">
        <f>AND(#REF!,"AAAAAHct/7s=")</f>
        <v>#REF!</v>
      </c>
      <c r="GG34" t="e">
        <f>AND(#REF!,"AAAAAHct/7w=")</f>
        <v>#REF!</v>
      </c>
      <c r="GH34" t="e">
        <f>AND(#REF!,"AAAAAHct/70=")</f>
        <v>#REF!</v>
      </c>
      <c r="GI34" t="e">
        <f>AND(#REF!,"AAAAAHct/74=")</f>
        <v>#REF!</v>
      </c>
      <c r="GJ34" t="e">
        <f>AND(#REF!,"AAAAAHct/78=")</f>
        <v>#REF!</v>
      </c>
      <c r="GK34" t="e">
        <f>AND(#REF!,"AAAAAHct/8A=")</f>
        <v>#REF!</v>
      </c>
      <c r="GL34" t="e">
        <f>AND(#REF!,"AAAAAHct/8E=")</f>
        <v>#REF!</v>
      </c>
      <c r="GM34" t="e">
        <f>AND(#REF!,"AAAAAHct/8I=")</f>
        <v>#REF!</v>
      </c>
      <c r="GN34" t="e">
        <f>AND(#REF!,"AAAAAHct/8M=")</f>
        <v>#REF!</v>
      </c>
      <c r="GO34" t="e">
        <f>AND(#REF!,"AAAAAHct/8Q=")</f>
        <v>#REF!</v>
      </c>
      <c r="GP34" t="e">
        <f>AND(#REF!,"AAAAAHct/8U=")</f>
        <v>#REF!</v>
      </c>
      <c r="GQ34" t="e">
        <f>AND(#REF!,"AAAAAHct/8Y=")</f>
        <v>#REF!</v>
      </c>
      <c r="GR34" t="e">
        <f>AND(#REF!,"AAAAAHct/8c=")</f>
        <v>#REF!</v>
      </c>
      <c r="GS34" t="e">
        <f>AND(#REF!,"AAAAAHct/8g=")</f>
        <v>#REF!</v>
      </c>
      <c r="GT34" t="e">
        <f>AND(#REF!,"AAAAAHct/8k=")</f>
        <v>#REF!</v>
      </c>
      <c r="GU34" t="e">
        <f>AND(#REF!,"AAAAAHct/8o=")</f>
        <v>#REF!</v>
      </c>
      <c r="GV34" t="e">
        <f>AND(#REF!,"AAAAAHct/8s=")</f>
        <v>#REF!</v>
      </c>
      <c r="GW34" t="e">
        <f>AND(#REF!,"AAAAAHct/8w=")</f>
        <v>#REF!</v>
      </c>
      <c r="GX34" t="e">
        <f>AND(#REF!,"AAAAAHct/80=")</f>
        <v>#REF!</v>
      </c>
      <c r="GY34" t="e">
        <f>AND(#REF!,"AAAAAHct/84=")</f>
        <v>#REF!</v>
      </c>
      <c r="GZ34" t="e">
        <f>AND(#REF!,"AAAAAHct/88=")</f>
        <v>#REF!</v>
      </c>
      <c r="HA34" t="e">
        <f>AND(#REF!,"AAAAAHct/9A=")</f>
        <v>#REF!</v>
      </c>
      <c r="HB34" t="e">
        <f>AND(#REF!,"AAAAAHct/9E=")</f>
        <v>#REF!</v>
      </c>
      <c r="HC34" t="e">
        <f>AND(#REF!,"AAAAAHct/9I=")</f>
        <v>#REF!</v>
      </c>
      <c r="HD34" t="e">
        <f>IF(#REF!,"AAAAAHct/9M=",0)</f>
        <v>#REF!</v>
      </c>
      <c r="HE34" t="e">
        <f>AND(#REF!,"AAAAAHct/9Q=")</f>
        <v>#REF!</v>
      </c>
      <c r="HF34" t="e">
        <f>AND(#REF!,"AAAAAHct/9U=")</f>
        <v>#REF!</v>
      </c>
      <c r="HG34" t="e">
        <f>AND(#REF!,"AAAAAHct/9Y=")</f>
        <v>#REF!</v>
      </c>
      <c r="HH34" t="e">
        <f>AND(#REF!,"AAAAAHct/9c=")</f>
        <v>#REF!</v>
      </c>
      <c r="HI34" t="e">
        <f>AND(#REF!,"AAAAAHct/9g=")</f>
        <v>#REF!</v>
      </c>
      <c r="HJ34" t="e">
        <f>AND(#REF!,"AAAAAHct/9k=")</f>
        <v>#REF!</v>
      </c>
      <c r="HK34" t="e">
        <f>AND(#REF!,"AAAAAHct/9o=")</f>
        <v>#REF!</v>
      </c>
      <c r="HL34" t="e">
        <f>AND(#REF!,"AAAAAHct/9s=")</f>
        <v>#REF!</v>
      </c>
      <c r="HM34" t="e">
        <f>AND(#REF!,"AAAAAHct/9w=")</f>
        <v>#REF!</v>
      </c>
      <c r="HN34" t="e">
        <f>AND(#REF!,"AAAAAHct/90=")</f>
        <v>#REF!</v>
      </c>
      <c r="HO34" t="e">
        <f>AND(#REF!,"AAAAAHct/94=")</f>
        <v>#REF!</v>
      </c>
      <c r="HP34" t="e">
        <f>AND(#REF!,"AAAAAHct/98=")</f>
        <v>#REF!</v>
      </c>
      <c r="HQ34" t="e">
        <f>AND(#REF!,"AAAAAHct/+A=")</f>
        <v>#REF!</v>
      </c>
      <c r="HR34" t="e">
        <f>AND(#REF!,"AAAAAHct/+E=")</f>
        <v>#REF!</v>
      </c>
      <c r="HS34" t="e">
        <f>AND(#REF!,"AAAAAHct/+I=")</f>
        <v>#REF!</v>
      </c>
      <c r="HT34" t="e">
        <f>AND(#REF!,"AAAAAHct/+M=")</f>
        <v>#REF!</v>
      </c>
      <c r="HU34" t="e">
        <f>AND(#REF!,"AAAAAHct/+Q=")</f>
        <v>#REF!</v>
      </c>
      <c r="HV34" t="e">
        <f>AND(#REF!,"AAAAAHct/+U=")</f>
        <v>#REF!</v>
      </c>
      <c r="HW34" t="e">
        <f>AND(#REF!,"AAAAAHct/+Y=")</f>
        <v>#REF!</v>
      </c>
      <c r="HX34" t="e">
        <f>AND(#REF!,"AAAAAHct/+c=")</f>
        <v>#REF!</v>
      </c>
      <c r="HY34" t="e">
        <f>AND(#REF!,"AAAAAHct/+g=")</f>
        <v>#REF!</v>
      </c>
      <c r="HZ34" t="e">
        <f>AND(#REF!,"AAAAAHct/+k=")</f>
        <v>#REF!</v>
      </c>
      <c r="IA34" t="e">
        <f>AND(#REF!,"AAAAAHct/+o=")</f>
        <v>#REF!</v>
      </c>
      <c r="IB34" t="e">
        <f>AND(#REF!,"AAAAAHct/+s=")</f>
        <v>#REF!</v>
      </c>
      <c r="IC34" t="e">
        <f>AND(#REF!,"AAAAAHct/+w=")</f>
        <v>#REF!</v>
      </c>
      <c r="ID34" t="e">
        <f>AND(#REF!,"AAAAAHct/+0=")</f>
        <v>#REF!</v>
      </c>
      <c r="IE34" t="e">
        <f>AND(#REF!,"AAAAAHct/+4=")</f>
        <v>#REF!</v>
      </c>
      <c r="IF34" t="e">
        <f>AND(#REF!,"AAAAAHct/+8=")</f>
        <v>#REF!</v>
      </c>
      <c r="IG34" t="e">
        <f>AND(#REF!,"AAAAAHct//A=")</f>
        <v>#REF!</v>
      </c>
      <c r="IH34" t="e">
        <f>AND(#REF!,"AAAAAHct//E=")</f>
        <v>#REF!</v>
      </c>
      <c r="II34" t="e">
        <f>AND(#REF!,"AAAAAHct//I=")</f>
        <v>#REF!</v>
      </c>
      <c r="IJ34" t="e">
        <f>AND(#REF!,"AAAAAHct//M=")</f>
        <v>#REF!</v>
      </c>
      <c r="IK34" t="e">
        <f>AND(#REF!,"AAAAAHct//Q=")</f>
        <v>#REF!</v>
      </c>
      <c r="IL34" t="e">
        <f>AND(#REF!,"AAAAAHct//U=")</f>
        <v>#REF!</v>
      </c>
      <c r="IM34" t="e">
        <f>AND(#REF!,"AAAAAHct//Y=")</f>
        <v>#REF!</v>
      </c>
      <c r="IN34" t="e">
        <f>AND(#REF!,"AAAAAHct//c=")</f>
        <v>#REF!</v>
      </c>
      <c r="IO34" t="e">
        <f>AND(#REF!,"AAAAAHct//g=")</f>
        <v>#REF!</v>
      </c>
      <c r="IP34" t="e">
        <f>AND(#REF!,"AAAAAHct//k=")</f>
        <v>#REF!</v>
      </c>
      <c r="IQ34" t="e">
        <f>AND(#REF!,"AAAAAHct//o=")</f>
        <v>#REF!</v>
      </c>
      <c r="IR34" t="e">
        <f>IF(#REF!,"AAAAAHct//s=",0)</f>
        <v>#REF!</v>
      </c>
      <c r="IS34" t="e">
        <f>AND(#REF!,"AAAAAHct//w=")</f>
        <v>#REF!</v>
      </c>
      <c r="IT34" t="e">
        <f>AND(#REF!,"AAAAAHct//0=")</f>
        <v>#REF!</v>
      </c>
      <c r="IU34" t="e">
        <f>AND(#REF!,"AAAAAHct//4=")</f>
        <v>#REF!</v>
      </c>
      <c r="IV34" t="e">
        <f>AND(#REF!,"AAAAAHct//8=")</f>
        <v>#REF!</v>
      </c>
    </row>
    <row r="35" spans="1:256" x14ac:dyDescent="0.35">
      <c r="A35" t="e">
        <f>AND(#REF!,"AAAAAGT22wA=")</f>
        <v>#REF!</v>
      </c>
      <c r="B35" t="e">
        <f>AND(#REF!,"AAAAAGT22wE=")</f>
        <v>#REF!</v>
      </c>
      <c r="C35" t="e">
        <f>AND(#REF!,"AAAAAGT22wI=")</f>
        <v>#REF!</v>
      </c>
      <c r="D35" t="e">
        <f>AND(#REF!,"AAAAAGT22wM=")</f>
        <v>#REF!</v>
      </c>
      <c r="E35" t="e">
        <f>AND(#REF!,"AAAAAGT22wQ=")</f>
        <v>#REF!</v>
      </c>
      <c r="F35" t="e">
        <f>AND(#REF!,"AAAAAGT22wU=")</f>
        <v>#REF!</v>
      </c>
      <c r="G35" t="e">
        <f>AND(#REF!,"AAAAAGT22wY=")</f>
        <v>#REF!</v>
      </c>
      <c r="H35" t="e">
        <f>AND(#REF!,"AAAAAGT22wc=")</f>
        <v>#REF!</v>
      </c>
      <c r="I35" t="e">
        <f>AND(#REF!,"AAAAAGT22wg=")</f>
        <v>#REF!</v>
      </c>
      <c r="J35" t="e">
        <f>AND(#REF!,"AAAAAGT22wk=")</f>
        <v>#REF!</v>
      </c>
      <c r="K35" t="e">
        <f>AND(#REF!,"AAAAAGT22wo=")</f>
        <v>#REF!</v>
      </c>
      <c r="L35" t="e">
        <f>AND(#REF!,"AAAAAGT22ws=")</f>
        <v>#REF!</v>
      </c>
      <c r="M35" t="e">
        <f>AND(#REF!,"AAAAAGT22ww=")</f>
        <v>#REF!</v>
      </c>
      <c r="N35" t="e">
        <f>AND(#REF!,"AAAAAGT22w0=")</f>
        <v>#REF!</v>
      </c>
      <c r="O35" t="e">
        <f>AND(#REF!,"AAAAAGT22w4=")</f>
        <v>#REF!</v>
      </c>
      <c r="P35" t="e">
        <f>AND(#REF!,"AAAAAGT22w8=")</f>
        <v>#REF!</v>
      </c>
      <c r="Q35" t="e">
        <f>AND(#REF!,"AAAAAGT22xA=")</f>
        <v>#REF!</v>
      </c>
      <c r="R35" t="e">
        <f>AND(#REF!,"AAAAAGT22xE=")</f>
        <v>#REF!</v>
      </c>
      <c r="S35" t="e">
        <f>AND(#REF!,"AAAAAGT22xI=")</f>
        <v>#REF!</v>
      </c>
      <c r="T35" t="e">
        <f>AND(#REF!,"AAAAAGT22xM=")</f>
        <v>#REF!</v>
      </c>
      <c r="U35" t="e">
        <f>AND(#REF!,"AAAAAGT22xQ=")</f>
        <v>#REF!</v>
      </c>
      <c r="V35" t="e">
        <f>AND(#REF!,"AAAAAGT22xU=")</f>
        <v>#REF!</v>
      </c>
      <c r="W35" t="e">
        <f>AND(#REF!,"AAAAAGT22xY=")</f>
        <v>#REF!</v>
      </c>
      <c r="X35" t="e">
        <f>AND(#REF!,"AAAAAGT22xc=")</f>
        <v>#REF!</v>
      </c>
      <c r="Y35" t="e">
        <f>AND(#REF!,"AAAAAGT22xg=")</f>
        <v>#REF!</v>
      </c>
      <c r="Z35" t="e">
        <f>AND(#REF!,"AAAAAGT22xk=")</f>
        <v>#REF!</v>
      </c>
      <c r="AA35" t="e">
        <f>AND(#REF!,"AAAAAGT22xo=")</f>
        <v>#REF!</v>
      </c>
      <c r="AB35" t="e">
        <f>AND(#REF!,"AAAAAGT22xs=")</f>
        <v>#REF!</v>
      </c>
      <c r="AC35" t="e">
        <f>AND(#REF!,"AAAAAGT22xw=")</f>
        <v>#REF!</v>
      </c>
      <c r="AD35" t="e">
        <f>AND(#REF!,"AAAAAGT22x0=")</f>
        <v>#REF!</v>
      </c>
      <c r="AE35" t="e">
        <f>AND(#REF!,"AAAAAGT22x4=")</f>
        <v>#REF!</v>
      </c>
      <c r="AF35" t="e">
        <f>AND(#REF!,"AAAAAGT22x8=")</f>
        <v>#REF!</v>
      </c>
      <c r="AG35" t="e">
        <f>AND(#REF!,"AAAAAGT22yA=")</f>
        <v>#REF!</v>
      </c>
      <c r="AH35" t="e">
        <f>AND(#REF!,"AAAAAGT22yE=")</f>
        <v>#REF!</v>
      </c>
      <c r="AI35" t="e">
        <f>AND(#REF!,"AAAAAGT22yI=")</f>
        <v>#REF!</v>
      </c>
      <c r="AJ35" t="e">
        <f>IF(#REF!,"AAAAAGT22yM=",0)</f>
        <v>#REF!</v>
      </c>
      <c r="AK35" t="e">
        <f>AND(#REF!,"AAAAAGT22yQ=")</f>
        <v>#REF!</v>
      </c>
      <c r="AL35" t="e">
        <f>AND(#REF!,"AAAAAGT22yU=")</f>
        <v>#REF!</v>
      </c>
      <c r="AM35" t="e">
        <f>AND(#REF!,"AAAAAGT22yY=")</f>
        <v>#REF!</v>
      </c>
      <c r="AN35" t="e">
        <f>AND(#REF!,"AAAAAGT22yc=")</f>
        <v>#REF!</v>
      </c>
      <c r="AO35" t="e">
        <f>AND(#REF!,"AAAAAGT22yg=")</f>
        <v>#REF!</v>
      </c>
      <c r="AP35" t="e">
        <f>AND(#REF!,"AAAAAGT22yk=")</f>
        <v>#REF!</v>
      </c>
      <c r="AQ35" t="e">
        <f>AND(#REF!,"AAAAAGT22yo=")</f>
        <v>#REF!</v>
      </c>
      <c r="AR35" t="e">
        <f>AND(#REF!,"AAAAAGT22ys=")</f>
        <v>#REF!</v>
      </c>
      <c r="AS35" t="e">
        <f>AND(#REF!,"AAAAAGT22yw=")</f>
        <v>#REF!</v>
      </c>
      <c r="AT35" t="e">
        <f>AND(#REF!,"AAAAAGT22y0=")</f>
        <v>#REF!</v>
      </c>
      <c r="AU35" t="e">
        <f>AND(#REF!,"AAAAAGT22y4=")</f>
        <v>#REF!</v>
      </c>
      <c r="AV35" t="e">
        <f>AND(#REF!,"AAAAAGT22y8=")</f>
        <v>#REF!</v>
      </c>
      <c r="AW35" t="e">
        <f>AND(#REF!,"AAAAAGT22zA=")</f>
        <v>#REF!</v>
      </c>
      <c r="AX35" t="e">
        <f>AND(#REF!,"AAAAAGT22zE=")</f>
        <v>#REF!</v>
      </c>
      <c r="AY35" t="e">
        <f>AND(#REF!,"AAAAAGT22zI=")</f>
        <v>#REF!</v>
      </c>
      <c r="AZ35" t="e">
        <f>AND(#REF!,"AAAAAGT22zM=")</f>
        <v>#REF!</v>
      </c>
      <c r="BA35" t="e">
        <f>AND(#REF!,"AAAAAGT22zQ=")</f>
        <v>#REF!</v>
      </c>
      <c r="BB35" t="e">
        <f>AND(#REF!,"AAAAAGT22zU=")</f>
        <v>#REF!</v>
      </c>
      <c r="BC35" t="e">
        <f>AND(#REF!,"AAAAAGT22zY=")</f>
        <v>#REF!</v>
      </c>
      <c r="BD35" t="e">
        <f>AND(#REF!,"AAAAAGT22zc=")</f>
        <v>#REF!</v>
      </c>
      <c r="BE35" t="e">
        <f>AND(#REF!,"AAAAAGT22zg=")</f>
        <v>#REF!</v>
      </c>
      <c r="BF35" t="e">
        <f>AND(#REF!,"AAAAAGT22zk=")</f>
        <v>#REF!</v>
      </c>
      <c r="BG35" t="e">
        <f>AND(#REF!,"AAAAAGT22zo=")</f>
        <v>#REF!</v>
      </c>
      <c r="BH35" t="e">
        <f>AND(#REF!,"AAAAAGT22zs=")</f>
        <v>#REF!</v>
      </c>
      <c r="BI35" t="e">
        <f>AND(#REF!,"AAAAAGT22zw=")</f>
        <v>#REF!</v>
      </c>
      <c r="BJ35" t="e">
        <f>AND(#REF!,"AAAAAGT22z0=")</f>
        <v>#REF!</v>
      </c>
      <c r="BK35" t="e">
        <f>AND(#REF!,"AAAAAGT22z4=")</f>
        <v>#REF!</v>
      </c>
      <c r="BL35" t="e">
        <f>AND(#REF!,"AAAAAGT22z8=")</f>
        <v>#REF!</v>
      </c>
      <c r="BM35" t="e">
        <f>AND(#REF!,"AAAAAGT220A=")</f>
        <v>#REF!</v>
      </c>
      <c r="BN35" t="e">
        <f>AND(#REF!,"AAAAAGT220E=")</f>
        <v>#REF!</v>
      </c>
      <c r="BO35" t="e">
        <f>AND(#REF!,"AAAAAGT220I=")</f>
        <v>#REF!</v>
      </c>
      <c r="BP35" t="e">
        <f>AND(#REF!,"AAAAAGT220M=")</f>
        <v>#REF!</v>
      </c>
      <c r="BQ35" t="e">
        <f>AND(#REF!,"AAAAAGT220Q=")</f>
        <v>#REF!</v>
      </c>
      <c r="BR35" t="e">
        <f>AND(#REF!,"AAAAAGT220U=")</f>
        <v>#REF!</v>
      </c>
      <c r="BS35" t="e">
        <f>AND(#REF!,"AAAAAGT220Y=")</f>
        <v>#REF!</v>
      </c>
      <c r="BT35" t="e">
        <f>AND(#REF!,"AAAAAGT220c=")</f>
        <v>#REF!</v>
      </c>
      <c r="BU35" t="e">
        <f>AND(#REF!,"AAAAAGT220g=")</f>
        <v>#REF!</v>
      </c>
      <c r="BV35" t="e">
        <f>AND(#REF!,"AAAAAGT220k=")</f>
        <v>#REF!</v>
      </c>
      <c r="BW35" t="e">
        <f>AND(#REF!,"AAAAAGT220o=")</f>
        <v>#REF!</v>
      </c>
      <c r="BX35" t="e">
        <f>IF(#REF!,"AAAAAGT220s=",0)</f>
        <v>#REF!</v>
      </c>
      <c r="BY35" t="e">
        <f>AND(#REF!,"AAAAAGT220w=")</f>
        <v>#REF!</v>
      </c>
      <c r="BZ35" t="e">
        <f>AND(#REF!,"AAAAAGT2200=")</f>
        <v>#REF!</v>
      </c>
      <c r="CA35" t="e">
        <f>AND(#REF!,"AAAAAGT2204=")</f>
        <v>#REF!</v>
      </c>
      <c r="CB35" t="e">
        <f>AND(#REF!,"AAAAAGT2208=")</f>
        <v>#REF!</v>
      </c>
      <c r="CC35" t="e">
        <f>AND(#REF!,"AAAAAGT221A=")</f>
        <v>#REF!</v>
      </c>
      <c r="CD35" t="e">
        <f>AND(#REF!,"AAAAAGT221E=")</f>
        <v>#REF!</v>
      </c>
      <c r="CE35" t="e">
        <f>AND(#REF!,"AAAAAGT221I=")</f>
        <v>#REF!</v>
      </c>
      <c r="CF35" t="e">
        <f>AND(#REF!,"AAAAAGT221M=")</f>
        <v>#REF!</v>
      </c>
      <c r="CG35" t="e">
        <f>AND(#REF!,"AAAAAGT221Q=")</f>
        <v>#REF!</v>
      </c>
      <c r="CH35" t="e">
        <f>AND(#REF!,"AAAAAGT221U=")</f>
        <v>#REF!</v>
      </c>
      <c r="CI35" t="e">
        <f>AND(#REF!,"AAAAAGT221Y=")</f>
        <v>#REF!</v>
      </c>
      <c r="CJ35" t="e">
        <f>AND(#REF!,"AAAAAGT221c=")</f>
        <v>#REF!</v>
      </c>
      <c r="CK35" t="e">
        <f>AND(#REF!,"AAAAAGT221g=")</f>
        <v>#REF!</v>
      </c>
      <c r="CL35" t="e">
        <f>AND(#REF!,"AAAAAGT221k=")</f>
        <v>#REF!</v>
      </c>
      <c r="CM35" t="e">
        <f>AND(#REF!,"AAAAAGT221o=")</f>
        <v>#REF!</v>
      </c>
      <c r="CN35" t="e">
        <f>AND(#REF!,"AAAAAGT221s=")</f>
        <v>#REF!</v>
      </c>
      <c r="CO35" t="e">
        <f>AND(#REF!,"AAAAAGT221w=")</f>
        <v>#REF!</v>
      </c>
      <c r="CP35" t="e">
        <f>AND(#REF!,"AAAAAGT2210=")</f>
        <v>#REF!</v>
      </c>
      <c r="CQ35" t="e">
        <f>AND(#REF!,"AAAAAGT2214=")</f>
        <v>#REF!</v>
      </c>
      <c r="CR35" t="e">
        <f>AND(#REF!,"AAAAAGT2218=")</f>
        <v>#REF!</v>
      </c>
      <c r="CS35" t="e">
        <f>AND(#REF!,"AAAAAGT222A=")</f>
        <v>#REF!</v>
      </c>
      <c r="CT35" t="e">
        <f>AND(#REF!,"AAAAAGT222E=")</f>
        <v>#REF!</v>
      </c>
      <c r="CU35" t="e">
        <f>AND(#REF!,"AAAAAGT222I=")</f>
        <v>#REF!</v>
      </c>
      <c r="CV35" t="e">
        <f>AND(#REF!,"AAAAAGT222M=")</f>
        <v>#REF!</v>
      </c>
      <c r="CW35" t="e">
        <f>AND(#REF!,"AAAAAGT222Q=")</f>
        <v>#REF!</v>
      </c>
      <c r="CX35" t="e">
        <f>AND(#REF!,"AAAAAGT222U=")</f>
        <v>#REF!</v>
      </c>
      <c r="CY35" t="e">
        <f>AND(#REF!,"AAAAAGT222Y=")</f>
        <v>#REF!</v>
      </c>
      <c r="CZ35" t="e">
        <f>AND(#REF!,"AAAAAGT222c=")</f>
        <v>#REF!</v>
      </c>
      <c r="DA35" t="e">
        <f>AND(#REF!,"AAAAAGT222g=")</f>
        <v>#REF!</v>
      </c>
      <c r="DB35" t="e">
        <f>AND(#REF!,"AAAAAGT222k=")</f>
        <v>#REF!</v>
      </c>
      <c r="DC35" t="e">
        <f>AND(#REF!,"AAAAAGT222o=")</f>
        <v>#REF!</v>
      </c>
      <c r="DD35" t="e">
        <f>AND(#REF!,"AAAAAGT222s=")</f>
        <v>#REF!</v>
      </c>
      <c r="DE35" t="e">
        <f>AND(#REF!,"AAAAAGT222w=")</f>
        <v>#REF!</v>
      </c>
      <c r="DF35" t="e">
        <f>AND(#REF!,"AAAAAGT2220=")</f>
        <v>#REF!</v>
      </c>
      <c r="DG35" t="e">
        <f>AND(#REF!,"AAAAAGT2224=")</f>
        <v>#REF!</v>
      </c>
      <c r="DH35" t="e">
        <f>AND(#REF!,"AAAAAGT2228=")</f>
        <v>#REF!</v>
      </c>
      <c r="DI35" t="e">
        <f>AND(#REF!,"AAAAAGT223A=")</f>
        <v>#REF!</v>
      </c>
      <c r="DJ35" t="e">
        <f>AND(#REF!,"AAAAAGT223E=")</f>
        <v>#REF!</v>
      </c>
      <c r="DK35" t="e">
        <f>AND(#REF!,"AAAAAGT223I=")</f>
        <v>#REF!</v>
      </c>
      <c r="DL35" t="e">
        <f>IF(#REF!,"AAAAAGT223M=",0)</f>
        <v>#REF!</v>
      </c>
      <c r="DM35" t="e">
        <f>AND(#REF!,"AAAAAGT223Q=")</f>
        <v>#REF!</v>
      </c>
      <c r="DN35" t="e">
        <f>AND(#REF!,"AAAAAGT223U=")</f>
        <v>#REF!</v>
      </c>
      <c r="DO35" t="e">
        <f>AND(#REF!,"AAAAAGT223Y=")</f>
        <v>#REF!</v>
      </c>
      <c r="DP35" t="e">
        <f>AND(#REF!,"AAAAAGT223c=")</f>
        <v>#REF!</v>
      </c>
      <c r="DQ35" t="e">
        <f>AND(#REF!,"AAAAAGT223g=")</f>
        <v>#REF!</v>
      </c>
      <c r="DR35" t="e">
        <f>AND(#REF!,"AAAAAGT223k=")</f>
        <v>#REF!</v>
      </c>
      <c r="DS35" t="e">
        <f>AND(#REF!,"AAAAAGT223o=")</f>
        <v>#REF!</v>
      </c>
      <c r="DT35" t="e">
        <f>AND(#REF!,"AAAAAGT223s=")</f>
        <v>#REF!</v>
      </c>
      <c r="DU35" t="e">
        <f>AND(#REF!,"AAAAAGT223w=")</f>
        <v>#REF!</v>
      </c>
      <c r="DV35" t="e">
        <f>AND(#REF!,"AAAAAGT2230=")</f>
        <v>#REF!</v>
      </c>
      <c r="DW35" t="e">
        <f>AND(#REF!,"AAAAAGT2234=")</f>
        <v>#REF!</v>
      </c>
      <c r="DX35" t="e">
        <f>AND(#REF!,"AAAAAGT2238=")</f>
        <v>#REF!</v>
      </c>
      <c r="DY35" t="e">
        <f>AND(#REF!,"AAAAAGT224A=")</f>
        <v>#REF!</v>
      </c>
      <c r="DZ35" t="e">
        <f>AND(#REF!,"AAAAAGT224E=")</f>
        <v>#REF!</v>
      </c>
      <c r="EA35" t="e">
        <f>AND(#REF!,"AAAAAGT224I=")</f>
        <v>#REF!</v>
      </c>
      <c r="EB35" t="e">
        <f>AND(#REF!,"AAAAAGT224M=")</f>
        <v>#REF!</v>
      </c>
      <c r="EC35" t="e">
        <f>AND(#REF!,"AAAAAGT224Q=")</f>
        <v>#REF!</v>
      </c>
      <c r="ED35" t="e">
        <f>AND(#REF!,"AAAAAGT224U=")</f>
        <v>#REF!</v>
      </c>
      <c r="EE35" t="e">
        <f>AND(#REF!,"AAAAAGT224Y=")</f>
        <v>#REF!</v>
      </c>
      <c r="EF35" t="e">
        <f>AND(#REF!,"AAAAAGT224c=")</f>
        <v>#REF!</v>
      </c>
      <c r="EG35" t="e">
        <f>AND(#REF!,"AAAAAGT224g=")</f>
        <v>#REF!</v>
      </c>
      <c r="EH35" t="e">
        <f>AND(#REF!,"AAAAAGT224k=")</f>
        <v>#REF!</v>
      </c>
      <c r="EI35" t="e">
        <f>AND(#REF!,"AAAAAGT224o=")</f>
        <v>#REF!</v>
      </c>
      <c r="EJ35" t="e">
        <f>AND(#REF!,"AAAAAGT224s=")</f>
        <v>#REF!</v>
      </c>
      <c r="EK35" t="e">
        <f>AND(#REF!,"AAAAAGT224w=")</f>
        <v>#REF!</v>
      </c>
      <c r="EL35" t="e">
        <f>AND(#REF!,"AAAAAGT2240=")</f>
        <v>#REF!</v>
      </c>
      <c r="EM35" t="e">
        <f>AND(#REF!,"AAAAAGT2244=")</f>
        <v>#REF!</v>
      </c>
      <c r="EN35" t="e">
        <f>AND(#REF!,"AAAAAGT2248=")</f>
        <v>#REF!</v>
      </c>
      <c r="EO35" t="e">
        <f>AND(#REF!,"AAAAAGT225A=")</f>
        <v>#REF!</v>
      </c>
      <c r="EP35" t="e">
        <f>AND(#REF!,"AAAAAGT225E=")</f>
        <v>#REF!</v>
      </c>
      <c r="EQ35" t="e">
        <f>AND(#REF!,"AAAAAGT225I=")</f>
        <v>#REF!</v>
      </c>
      <c r="ER35" t="e">
        <f>AND(#REF!,"AAAAAGT225M=")</f>
        <v>#REF!</v>
      </c>
      <c r="ES35" t="e">
        <f>AND(#REF!,"AAAAAGT225Q=")</f>
        <v>#REF!</v>
      </c>
      <c r="ET35" t="e">
        <f>AND(#REF!,"AAAAAGT225U=")</f>
        <v>#REF!</v>
      </c>
      <c r="EU35" t="e">
        <f>AND(#REF!,"AAAAAGT225Y=")</f>
        <v>#REF!</v>
      </c>
      <c r="EV35" t="e">
        <f>AND(#REF!,"AAAAAGT225c=")</f>
        <v>#REF!</v>
      </c>
      <c r="EW35" t="e">
        <f>AND(#REF!,"AAAAAGT225g=")</f>
        <v>#REF!</v>
      </c>
      <c r="EX35" t="e">
        <f>AND(#REF!,"AAAAAGT225k=")</f>
        <v>#REF!</v>
      </c>
      <c r="EY35" t="e">
        <f>AND(#REF!,"AAAAAGT225o=")</f>
        <v>#REF!</v>
      </c>
      <c r="EZ35" t="e">
        <f>IF(#REF!,"AAAAAGT225s=",0)</f>
        <v>#REF!</v>
      </c>
      <c r="FA35" t="e">
        <f>AND(#REF!,"AAAAAGT225w=")</f>
        <v>#REF!</v>
      </c>
      <c r="FB35" t="e">
        <f>AND(#REF!,"AAAAAGT2250=")</f>
        <v>#REF!</v>
      </c>
      <c r="FC35" t="e">
        <f>AND(#REF!,"AAAAAGT2254=")</f>
        <v>#REF!</v>
      </c>
      <c r="FD35" t="e">
        <f>AND(#REF!,"AAAAAGT2258=")</f>
        <v>#REF!</v>
      </c>
      <c r="FE35" t="e">
        <f>AND(#REF!,"AAAAAGT226A=")</f>
        <v>#REF!</v>
      </c>
      <c r="FF35" t="e">
        <f>AND(#REF!,"AAAAAGT226E=")</f>
        <v>#REF!</v>
      </c>
      <c r="FG35" t="e">
        <f>AND(#REF!,"AAAAAGT226I=")</f>
        <v>#REF!</v>
      </c>
      <c r="FH35" t="e">
        <f>AND(#REF!,"AAAAAGT226M=")</f>
        <v>#REF!</v>
      </c>
      <c r="FI35" t="e">
        <f>AND(#REF!,"AAAAAGT226Q=")</f>
        <v>#REF!</v>
      </c>
      <c r="FJ35" t="e">
        <f>AND(#REF!,"AAAAAGT226U=")</f>
        <v>#REF!</v>
      </c>
      <c r="FK35" t="e">
        <f>AND(#REF!,"AAAAAGT226Y=")</f>
        <v>#REF!</v>
      </c>
      <c r="FL35" t="e">
        <f>AND(#REF!,"AAAAAGT226c=")</f>
        <v>#REF!</v>
      </c>
      <c r="FM35" t="e">
        <f>AND(#REF!,"AAAAAGT226g=")</f>
        <v>#REF!</v>
      </c>
      <c r="FN35" t="e">
        <f>AND(#REF!,"AAAAAGT226k=")</f>
        <v>#REF!</v>
      </c>
      <c r="FO35" t="e">
        <f>AND(#REF!,"AAAAAGT226o=")</f>
        <v>#REF!</v>
      </c>
      <c r="FP35" t="e">
        <f>AND(#REF!,"AAAAAGT226s=")</f>
        <v>#REF!</v>
      </c>
      <c r="FQ35" t="e">
        <f>AND(#REF!,"AAAAAGT226w=")</f>
        <v>#REF!</v>
      </c>
      <c r="FR35" t="e">
        <f>AND(#REF!,"AAAAAGT2260=")</f>
        <v>#REF!</v>
      </c>
      <c r="FS35" t="e">
        <f>AND(#REF!,"AAAAAGT2264=")</f>
        <v>#REF!</v>
      </c>
      <c r="FT35" t="e">
        <f>AND(#REF!,"AAAAAGT2268=")</f>
        <v>#REF!</v>
      </c>
      <c r="FU35" t="e">
        <f>AND(#REF!,"AAAAAGT227A=")</f>
        <v>#REF!</v>
      </c>
      <c r="FV35" t="e">
        <f>AND(#REF!,"AAAAAGT227E=")</f>
        <v>#REF!</v>
      </c>
      <c r="FW35" t="e">
        <f>AND(#REF!,"AAAAAGT227I=")</f>
        <v>#REF!</v>
      </c>
      <c r="FX35" t="e">
        <f>AND(#REF!,"AAAAAGT227M=")</f>
        <v>#REF!</v>
      </c>
      <c r="FY35" t="e">
        <f>AND(#REF!,"AAAAAGT227Q=")</f>
        <v>#REF!</v>
      </c>
      <c r="FZ35" t="e">
        <f>AND(#REF!,"AAAAAGT227U=")</f>
        <v>#REF!</v>
      </c>
      <c r="GA35" t="e">
        <f>AND(#REF!,"AAAAAGT227Y=")</f>
        <v>#REF!</v>
      </c>
      <c r="GB35" t="e">
        <f>AND(#REF!,"AAAAAGT227c=")</f>
        <v>#REF!</v>
      </c>
      <c r="GC35" t="e">
        <f>AND(#REF!,"AAAAAGT227g=")</f>
        <v>#REF!</v>
      </c>
      <c r="GD35" t="e">
        <f>AND(#REF!,"AAAAAGT227k=")</f>
        <v>#REF!</v>
      </c>
      <c r="GE35" t="e">
        <f>AND(#REF!,"AAAAAGT227o=")</f>
        <v>#REF!</v>
      </c>
      <c r="GF35" t="e">
        <f>AND(#REF!,"AAAAAGT227s=")</f>
        <v>#REF!</v>
      </c>
      <c r="GG35" t="e">
        <f>AND(#REF!,"AAAAAGT227w=")</f>
        <v>#REF!</v>
      </c>
      <c r="GH35" t="e">
        <f>AND(#REF!,"AAAAAGT2270=")</f>
        <v>#REF!</v>
      </c>
      <c r="GI35" t="e">
        <f>AND(#REF!,"AAAAAGT2274=")</f>
        <v>#REF!</v>
      </c>
      <c r="GJ35" t="e">
        <f>AND(#REF!,"AAAAAGT2278=")</f>
        <v>#REF!</v>
      </c>
      <c r="GK35" t="e">
        <f>AND(#REF!,"AAAAAGT228A=")</f>
        <v>#REF!</v>
      </c>
      <c r="GL35" t="e">
        <f>AND(#REF!,"AAAAAGT228E=")</f>
        <v>#REF!</v>
      </c>
      <c r="GM35" t="e">
        <f>AND(#REF!,"AAAAAGT228I=")</f>
        <v>#REF!</v>
      </c>
      <c r="GN35" t="e">
        <f>IF(#REF!,"AAAAAGT228M=",0)</f>
        <v>#REF!</v>
      </c>
      <c r="GO35" t="e">
        <f>AND(#REF!,"AAAAAGT228Q=")</f>
        <v>#REF!</v>
      </c>
      <c r="GP35" t="e">
        <f>AND(#REF!,"AAAAAGT228U=")</f>
        <v>#REF!</v>
      </c>
      <c r="GQ35" t="e">
        <f>AND(#REF!,"AAAAAGT228Y=")</f>
        <v>#REF!</v>
      </c>
      <c r="GR35" t="e">
        <f>AND(#REF!,"AAAAAGT228c=")</f>
        <v>#REF!</v>
      </c>
      <c r="GS35" t="e">
        <f>AND(#REF!,"AAAAAGT228g=")</f>
        <v>#REF!</v>
      </c>
      <c r="GT35" t="e">
        <f>AND(#REF!,"AAAAAGT228k=")</f>
        <v>#REF!</v>
      </c>
      <c r="GU35" t="e">
        <f>AND(#REF!,"AAAAAGT228o=")</f>
        <v>#REF!</v>
      </c>
      <c r="GV35" t="e">
        <f>AND(#REF!,"AAAAAGT228s=")</f>
        <v>#REF!</v>
      </c>
      <c r="GW35" t="e">
        <f>AND(#REF!,"AAAAAGT228w=")</f>
        <v>#REF!</v>
      </c>
      <c r="GX35" t="e">
        <f>AND(#REF!,"AAAAAGT2280=")</f>
        <v>#REF!</v>
      </c>
      <c r="GY35" t="e">
        <f>AND(#REF!,"AAAAAGT2284=")</f>
        <v>#REF!</v>
      </c>
      <c r="GZ35" t="e">
        <f>AND(#REF!,"AAAAAGT2288=")</f>
        <v>#REF!</v>
      </c>
      <c r="HA35" t="e">
        <f>AND(#REF!,"AAAAAGT229A=")</f>
        <v>#REF!</v>
      </c>
      <c r="HB35" t="e">
        <f>AND(#REF!,"AAAAAGT229E=")</f>
        <v>#REF!</v>
      </c>
      <c r="HC35" t="e">
        <f>AND(#REF!,"AAAAAGT229I=")</f>
        <v>#REF!</v>
      </c>
      <c r="HD35" t="e">
        <f>AND(#REF!,"AAAAAGT229M=")</f>
        <v>#REF!</v>
      </c>
      <c r="HE35" t="e">
        <f>AND(#REF!,"AAAAAGT229Q=")</f>
        <v>#REF!</v>
      </c>
      <c r="HF35" t="e">
        <f>AND(#REF!,"AAAAAGT229U=")</f>
        <v>#REF!</v>
      </c>
      <c r="HG35" t="e">
        <f>AND(#REF!,"AAAAAGT229Y=")</f>
        <v>#REF!</v>
      </c>
      <c r="HH35" t="e">
        <f>AND(#REF!,"AAAAAGT229c=")</f>
        <v>#REF!</v>
      </c>
      <c r="HI35" t="e">
        <f>AND(#REF!,"AAAAAGT229g=")</f>
        <v>#REF!</v>
      </c>
      <c r="HJ35" t="e">
        <f>AND(#REF!,"AAAAAGT229k=")</f>
        <v>#REF!</v>
      </c>
      <c r="HK35" t="e">
        <f>AND(#REF!,"AAAAAGT229o=")</f>
        <v>#REF!</v>
      </c>
      <c r="HL35" t="e">
        <f>AND(#REF!,"AAAAAGT229s=")</f>
        <v>#REF!</v>
      </c>
      <c r="HM35" t="e">
        <f>AND(#REF!,"AAAAAGT229w=")</f>
        <v>#REF!</v>
      </c>
      <c r="HN35" t="e">
        <f>AND(#REF!,"AAAAAGT2290=")</f>
        <v>#REF!</v>
      </c>
      <c r="HO35" t="e">
        <f>AND(#REF!,"AAAAAGT2294=")</f>
        <v>#REF!</v>
      </c>
      <c r="HP35" t="e">
        <f>AND(#REF!,"AAAAAGT2298=")</f>
        <v>#REF!</v>
      </c>
      <c r="HQ35" t="e">
        <f>AND(#REF!,"AAAAAGT22+A=")</f>
        <v>#REF!</v>
      </c>
      <c r="HR35" t="e">
        <f>AND(#REF!,"AAAAAGT22+E=")</f>
        <v>#REF!</v>
      </c>
      <c r="HS35" t="e">
        <f>AND(#REF!,"AAAAAGT22+I=")</f>
        <v>#REF!</v>
      </c>
      <c r="HT35" t="e">
        <f>AND(#REF!,"AAAAAGT22+M=")</f>
        <v>#REF!</v>
      </c>
      <c r="HU35" t="e">
        <f>AND(#REF!,"AAAAAGT22+Q=")</f>
        <v>#REF!</v>
      </c>
      <c r="HV35" t="e">
        <f>AND(#REF!,"AAAAAGT22+U=")</f>
        <v>#REF!</v>
      </c>
      <c r="HW35" t="e">
        <f>AND(#REF!,"AAAAAGT22+Y=")</f>
        <v>#REF!</v>
      </c>
      <c r="HX35" t="e">
        <f>AND(#REF!,"AAAAAGT22+c=")</f>
        <v>#REF!</v>
      </c>
      <c r="HY35" t="e">
        <f>AND(#REF!,"AAAAAGT22+g=")</f>
        <v>#REF!</v>
      </c>
      <c r="HZ35" t="e">
        <f>AND(#REF!,"AAAAAGT22+k=")</f>
        <v>#REF!</v>
      </c>
      <c r="IA35" t="e">
        <f>AND(#REF!,"AAAAAGT22+o=")</f>
        <v>#REF!</v>
      </c>
      <c r="IB35" t="e">
        <f>IF(#REF!,"AAAAAGT22+s=",0)</f>
        <v>#REF!</v>
      </c>
      <c r="IC35" t="e">
        <f>AND(#REF!,"AAAAAGT22+w=")</f>
        <v>#REF!</v>
      </c>
      <c r="ID35" t="e">
        <f>AND(#REF!,"AAAAAGT22+0=")</f>
        <v>#REF!</v>
      </c>
      <c r="IE35" t="e">
        <f>AND(#REF!,"AAAAAGT22+4=")</f>
        <v>#REF!</v>
      </c>
      <c r="IF35" t="e">
        <f>AND(#REF!,"AAAAAGT22+8=")</f>
        <v>#REF!</v>
      </c>
      <c r="IG35" t="e">
        <f>AND(#REF!,"AAAAAGT22/A=")</f>
        <v>#REF!</v>
      </c>
      <c r="IH35" t="e">
        <f>AND(#REF!,"AAAAAGT22/E=")</f>
        <v>#REF!</v>
      </c>
      <c r="II35" t="e">
        <f>AND(#REF!,"AAAAAGT22/I=")</f>
        <v>#REF!</v>
      </c>
      <c r="IJ35" t="e">
        <f>AND(#REF!,"AAAAAGT22/M=")</f>
        <v>#REF!</v>
      </c>
      <c r="IK35" t="e">
        <f>AND(#REF!,"AAAAAGT22/Q=")</f>
        <v>#REF!</v>
      </c>
      <c r="IL35" t="e">
        <f>AND(#REF!,"AAAAAGT22/U=")</f>
        <v>#REF!</v>
      </c>
      <c r="IM35" t="e">
        <f>AND(#REF!,"AAAAAGT22/Y=")</f>
        <v>#REF!</v>
      </c>
      <c r="IN35" t="e">
        <f>AND(#REF!,"AAAAAGT22/c=")</f>
        <v>#REF!</v>
      </c>
      <c r="IO35" t="e">
        <f>AND(#REF!,"AAAAAGT22/g=")</f>
        <v>#REF!</v>
      </c>
      <c r="IP35" t="e">
        <f>AND(#REF!,"AAAAAGT22/k=")</f>
        <v>#REF!</v>
      </c>
      <c r="IQ35" t="e">
        <f>AND(#REF!,"AAAAAGT22/o=")</f>
        <v>#REF!</v>
      </c>
      <c r="IR35" t="e">
        <f>AND(#REF!,"AAAAAGT22/s=")</f>
        <v>#REF!</v>
      </c>
      <c r="IS35" t="e">
        <f>AND(#REF!,"AAAAAGT22/w=")</f>
        <v>#REF!</v>
      </c>
      <c r="IT35" t="e">
        <f>AND(#REF!,"AAAAAGT22/0=")</f>
        <v>#REF!</v>
      </c>
      <c r="IU35" t="e">
        <f>AND(#REF!,"AAAAAGT22/4=")</f>
        <v>#REF!</v>
      </c>
      <c r="IV35" t="e">
        <f>AND(#REF!,"AAAAAGT22/8=")</f>
        <v>#REF!</v>
      </c>
    </row>
    <row r="36" spans="1:256" x14ac:dyDescent="0.35">
      <c r="A36" t="e">
        <f>AND(#REF!,"AAAAAG3ZtwA=")</f>
        <v>#REF!</v>
      </c>
      <c r="B36" t="e">
        <f>AND(#REF!,"AAAAAG3ZtwE=")</f>
        <v>#REF!</v>
      </c>
      <c r="C36" t="e">
        <f>AND(#REF!,"AAAAAG3ZtwI=")</f>
        <v>#REF!</v>
      </c>
      <c r="D36" t="e">
        <f>AND(#REF!,"AAAAAG3ZtwM=")</f>
        <v>#REF!</v>
      </c>
      <c r="E36" t="e">
        <f>AND(#REF!,"AAAAAG3ZtwQ=")</f>
        <v>#REF!</v>
      </c>
      <c r="F36" t="e">
        <f>AND(#REF!,"AAAAAG3ZtwU=")</f>
        <v>#REF!</v>
      </c>
      <c r="G36" t="e">
        <f>AND(#REF!,"AAAAAG3ZtwY=")</f>
        <v>#REF!</v>
      </c>
      <c r="H36" t="e">
        <f>AND(#REF!,"AAAAAG3Ztwc=")</f>
        <v>#REF!</v>
      </c>
      <c r="I36" t="e">
        <f>AND(#REF!,"AAAAAG3Ztwg=")</f>
        <v>#REF!</v>
      </c>
      <c r="J36" t="e">
        <f>AND(#REF!,"AAAAAG3Ztwk=")</f>
        <v>#REF!</v>
      </c>
      <c r="K36" t="e">
        <f>AND(#REF!,"AAAAAG3Ztwo=")</f>
        <v>#REF!</v>
      </c>
      <c r="L36" t="e">
        <f>AND(#REF!,"AAAAAG3Ztws=")</f>
        <v>#REF!</v>
      </c>
      <c r="M36" t="e">
        <f>AND(#REF!,"AAAAAG3Ztww=")</f>
        <v>#REF!</v>
      </c>
      <c r="N36" t="e">
        <f>AND(#REF!,"AAAAAG3Ztw0=")</f>
        <v>#REF!</v>
      </c>
      <c r="O36" t="e">
        <f>AND(#REF!,"AAAAAG3Ztw4=")</f>
        <v>#REF!</v>
      </c>
      <c r="P36" t="e">
        <f>AND(#REF!,"AAAAAG3Ztw8=")</f>
        <v>#REF!</v>
      </c>
      <c r="Q36" t="e">
        <f>AND(#REF!,"AAAAAG3ZtxA=")</f>
        <v>#REF!</v>
      </c>
      <c r="R36" t="e">
        <f>AND(#REF!,"AAAAAG3ZtxE=")</f>
        <v>#REF!</v>
      </c>
      <c r="S36" t="e">
        <f>AND(#REF!,"AAAAAG3ZtxI=")</f>
        <v>#REF!</v>
      </c>
      <c r="T36" t="e">
        <f>IF(#REF!,"AAAAAG3ZtxM=",0)</f>
        <v>#REF!</v>
      </c>
      <c r="U36" t="e">
        <f>AND(#REF!,"AAAAAG3ZtxQ=")</f>
        <v>#REF!</v>
      </c>
      <c r="V36" t="e">
        <f>AND(#REF!,"AAAAAG3ZtxU=")</f>
        <v>#REF!</v>
      </c>
      <c r="W36" t="e">
        <f>AND(#REF!,"AAAAAG3ZtxY=")</f>
        <v>#REF!</v>
      </c>
      <c r="X36" t="e">
        <f>AND(#REF!,"AAAAAG3Ztxc=")</f>
        <v>#REF!</v>
      </c>
      <c r="Y36" t="e">
        <f>AND(#REF!,"AAAAAG3Ztxg=")</f>
        <v>#REF!</v>
      </c>
      <c r="Z36" t="e">
        <f>AND(#REF!,"AAAAAG3Ztxk=")</f>
        <v>#REF!</v>
      </c>
      <c r="AA36" t="e">
        <f>AND(#REF!,"AAAAAG3Ztxo=")</f>
        <v>#REF!</v>
      </c>
      <c r="AB36" t="e">
        <f>AND(#REF!,"AAAAAG3Ztxs=")</f>
        <v>#REF!</v>
      </c>
      <c r="AC36" t="e">
        <f>AND(#REF!,"AAAAAG3Ztxw=")</f>
        <v>#REF!</v>
      </c>
      <c r="AD36" t="e">
        <f>AND(#REF!,"AAAAAG3Ztx0=")</f>
        <v>#REF!</v>
      </c>
      <c r="AE36" t="e">
        <f>AND(#REF!,"AAAAAG3Ztx4=")</f>
        <v>#REF!</v>
      </c>
      <c r="AF36" t="e">
        <f>AND(#REF!,"AAAAAG3Ztx8=")</f>
        <v>#REF!</v>
      </c>
      <c r="AG36" t="e">
        <f>AND(#REF!,"AAAAAG3ZtyA=")</f>
        <v>#REF!</v>
      </c>
      <c r="AH36" t="e">
        <f>AND(#REF!,"AAAAAG3ZtyE=")</f>
        <v>#REF!</v>
      </c>
      <c r="AI36" t="e">
        <f>AND(#REF!,"AAAAAG3ZtyI=")</f>
        <v>#REF!</v>
      </c>
      <c r="AJ36" t="e">
        <f>AND(#REF!,"AAAAAG3ZtyM=")</f>
        <v>#REF!</v>
      </c>
      <c r="AK36" t="e">
        <f>AND(#REF!,"AAAAAG3ZtyQ=")</f>
        <v>#REF!</v>
      </c>
      <c r="AL36" t="e">
        <f>AND(#REF!,"AAAAAG3ZtyU=")</f>
        <v>#REF!</v>
      </c>
      <c r="AM36" t="e">
        <f>AND(#REF!,"AAAAAG3ZtyY=")</f>
        <v>#REF!</v>
      </c>
      <c r="AN36" t="e">
        <f>AND(#REF!,"AAAAAG3Ztyc=")</f>
        <v>#REF!</v>
      </c>
      <c r="AO36" t="e">
        <f>AND(#REF!,"AAAAAG3Ztyg=")</f>
        <v>#REF!</v>
      </c>
      <c r="AP36" t="e">
        <f>AND(#REF!,"AAAAAG3Ztyk=")</f>
        <v>#REF!</v>
      </c>
      <c r="AQ36" t="e">
        <f>AND(#REF!,"AAAAAG3Ztyo=")</f>
        <v>#REF!</v>
      </c>
      <c r="AR36" t="e">
        <f>AND(#REF!,"AAAAAG3Ztys=")</f>
        <v>#REF!</v>
      </c>
      <c r="AS36" t="e">
        <f>AND(#REF!,"AAAAAG3Ztyw=")</f>
        <v>#REF!</v>
      </c>
      <c r="AT36" t="e">
        <f>AND(#REF!,"AAAAAG3Zty0=")</f>
        <v>#REF!</v>
      </c>
      <c r="AU36" t="e">
        <f>AND(#REF!,"AAAAAG3Zty4=")</f>
        <v>#REF!</v>
      </c>
      <c r="AV36" t="e">
        <f>AND(#REF!,"AAAAAG3Zty8=")</f>
        <v>#REF!</v>
      </c>
      <c r="AW36" t="e">
        <f>AND(#REF!,"AAAAAG3ZtzA=")</f>
        <v>#REF!</v>
      </c>
      <c r="AX36" t="e">
        <f>AND(#REF!,"AAAAAG3ZtzE=")</f>
        <v>#REF!</v>
      </c>
      <c r="AY36" t="e">
        <f>AND(#REF!,"AAAAAG3ZtzI=")</f>
        <v>#REF!</v>
      </c>
      <c r="AZ36" t="e">
        <f>AND(#REF!,"AAAAAG3ZtzM=")</f>
        <v>#REF!</v>
      </c>
      <c r="BA36" t="e">
        <f>AND(#REF!,"AAAAAG3ZtzQ=")</f>
        <v>#REF!</v>
      </c>
      <c r="BB36" t="e">
        <f>AND(#REF!,"AAAAAG3ZtzU=")</f>
        <v>#REF!</v>
      </c>
      <c r="BC36" t="e">
        <f>AND(#REF!,"AAAAAG3ZtzY=")</f>
        <v>#REF!</v>
      </c>
      <c r="BD36" t="e">
        <f>AND(#REF!,"AAAAAG3Ztzc=")</f>
        <v>#REF!</v>
      </c>
      <c r="BE36" t="e">
        <f>AND(#REF!,"AAAAAG3Ztzg=")</f>
        <v>#REF!</v>
      </c>
      <c r="BF36" t="e">
        <f>AND(#REF!,"AAAAAG3Ztzk=")</f>
        <v>#REF!</v>
      </c>
      <c r="BG36" t="e">
        <f>AND(#REF!,"AAAAAG3Ztzo=")</f>
        <v>#REF!</v>
      </c>
      <c r="BH36" t="e">
        <f>IF(#REF!,"AAAAAG3Ztzs=",0)</f>
        <v>#REF!</v>
      </c>
      <c r="BI36" t="e">
        <f>AND(#REF!,"AAAAAG3Ztzw=")</f>
        <v>#REF!</v>
      </c>
      <c r="BJ36" t="e">
        <f>AND(#REF!,"AAAAAG3Ztz0=")</f>
        <v>#REF!</v>
      </c>
      <c r="BK36" t="e">
        <f>AND(#REF!,"AAAAAG3Ztz4=")</f>
        <v>#REF!</v>
      </c>
      <c r="BL36" t="e">
        <f>AND(#REF!,"AAAAAG3Ztz8=")</f>
        <v>#REF!</v>
      </c>
      <c r="BM36" t="e">
        <f>AND(#REF!,"AAAAAG3Zt0A=")</f>
        <v>#REF!</v>
      </c>
      <c r="BN36" t="e">
        <f>AND(#REF!,"AAAAAG3Zt0E=")</f>
        <v>#REF!</v>
      </c>
      <c r="BO36" t="e">
        <f>AND(#REF!,"AAAAAG3Zt0I=")</f>
        <v>#REF!</v>
      </c>
      <c r="BP36" t="e">
        <f>AND(#REF!,"AAAAAG3Zt0M=")</f>
        <v>#REF!</v>
      </c>
      <c r="BQ36" t="e">
        <f>AND(#REF!,"AAAAAG3Zt0Q=")</f>
        <v>#REF!</v>
      </c>
      <c r="BR36" t="e">
        <f>AND(#REF!,"AAAAAG3Zt0U=")</f>
        <v>#REF!</v>
      </c>
      <c r="BS36" t="e">
        <f>AND(#REF!,"AAAAAG3Zt0Y=")</f>
        <v>#REF!</v>
      </c>
      <c r="BT36" t="e">
        <f>AND(#REF!,"AAAAAG3Zt0c=")</f>
        <v>#REF!</v>
      </c>
      <c r="BU36" t="e">
        <f>AND(#REF!,"AAAAAG3Zt0g=")</f>
        <v>#REF!</v>
      </c>
      <c r="BV36" t="e">
        <f>AND(#REF!,"AAAAAG3Zt0k=")</f>
        <v>#REF!</v>
      </c>
      <c r="BW36" t="e">
        <f>AND(#REF!,"AAAAAG3Zt0o=")</f>
        <v>#REF!</v>
      </c>
      <c r="BX36" t="e">
        <f>AND(#REF!,"AAAAAG3Zt0s=")</f>
        <v>#REF!</v>
      </c>
      <c r="BY36" t="e">
        <f>AND(#REF!,"AAAAAG3Zt0w=")</f>
        <v>#REF!</v>
      </c>
      <c r="BZ36" t="e">
        <f>AND(#REF!,"AAAAAG3Zt00=")</f>
        <v>#REF!</v>
      </c>
      <c r="CA36" t="e">
        <f>AND(#REF!,"AAAAAG3Zt04=")</f>
        <v>#REF!</v>
      </c>
      <c r="CB36" t="e">
        <f>AND(#REF!,"AAAAAG3Zt08=")</f>
        <v>#REF!</v>
      </c>
      <c r="CC36" t="e">
        <f>AND(#REF!,"AAAAAG3Zt1A=")</f>
        <v>#REF!</v>
      </c>
      <c r="CD36" t="e">
        <f>AND(#REF!,"AAAAAG3Zt1E=")</f>
        <v>#REF!</v>
      </c>
      <c r="CE36" t="e">
        <f>AND(#REF!,"AAAAAG3Zt1I=")</f>
        <v>#REF!</v>
      </c>
      <c r="CF36" t="e">
        <f>AND(#REF!,"AAAAAG3Zt1M=")</f>
        <v>#REF!</v>
      </c>
      <c r="CG36" t="e">
        <f>AND(#REF!,"AAAAAG3Zt1Q=")</f>
        <v>#REF!</v>
      </c>
      <c r="CH36" t="e">
        <f>AND(#REF!,"AAAAAG3Zt1U=")</f>
        <v>#REF!</v>
      </c>
      <c r="CI36" t="e">
        <f>AND(#REF!,"AAAAAG3Zt1Y=")</f>
        <v>#REF!</v>
      </c>
      <c r="CJ36" t="e">
        <f>AND(#REF!,"AAAAAG3Zt1c=")</f>
        <v>#REF!</v>
      </c>
      <c r="CK36" t="e">
        <f>AND(#REF!,"AAAAAG3Zt1g=")</f>
        <v>#REF!</v>
      </c>
      <c r="CL36" t="e">
        <f>AND(#REF!,"AAAAAG3Zt1k=")</f>
        <v>#REF!</v>
      </c>
      <c r="CM36" t="e">
        <f>AND(#REF!,"AAAAAG3Zt1o=")</f>
        <v>#REF!</v>
      </c>
      <c r="CN36" t="e">
        <f>AND(#REF!,"AAAAAG3Zt1s=")</f>
        <v>#REF!</v>
      </c>
      <c r="CO36" t="e">
        <f>AND(#REF!,"AAAAAG3Zt1w=")</f>
        <v>#REF!</v>
      </c>
      <c r="CP36" t="e">
        <f>AND(#REF!,"AAAAAG3Zt10=")</f>
        <v>#REF!</v>
      </c>
      <c r="CQ36" t="e">
        <f>AND(#REF!,"AAAAAG3Zt14=")</f>
        <v>#REF!</v>
      </c>
      <c r="CR36" t="e">
        <f>AND(#REF!,"AAAAAG3Zt18=")</f>
        <v>#REF!</v>
      </c>
      <c r="CS36" t="e">
        <f>AND(#REF!,"AAAAAG3Zt2A=")</f>
        <v>#REF!</v>
      </c>
      <c r="CT36" t="e">
        <f>AND(#REF!,"AAAAAG3Zt2E=")</f>
        <v>#REF!</v>
      </c>
      <c r="CU36" t="e">
        <f>AND(#REF!,"AAAAAG3Zt2I=")</f>
        <v>#REF!</v>
      </c>
      <c r="CV36" t="e">
        <f>IF(#REF!,"AAAAAG3Zt2M=",0)</f>
        <v>#REF!</v>
      </c>
      <c r="CW36" t="e">
        <f>AND(#REF!,"AAAAAG3Zt2Q=")</f>
        <v>#REF!</v>
      </c>
      <c r="CX36" t="e">
        <f>AND(#REF!,"AAAAAG3Zt2U=")</f>
        <v>#REF!</v>
      </c>
      <c r="CY36" t="e">
        <f>AND(#REF!,"AAAAAG3Zt2Y=")</f>
        <v>#REF!</v>
      </c>
      <c r="CZ36" t="e">
        <f>AND(#REF!,"AAAAAG3Zt2c=")</f>
        <v>#REF!</v>
      </c>
      <c r="DA36" t="e">
        <f>AND(#REF!,"AAAAAG3Zt2g=")</f>
        <v>#REF!</v>
      </c>
      <c r="DB36" t="e">
        <f>AND(#REF!,"AAAAAG3Zt2k=")</f>
        <v>#REF!</v>
      </c>
      <c r="DC36" t="e">
        <f>AND(#REF!,"AAAAAG3Zt2o=")</f>
        <v>#REF!</v>
      </c>
      <c r="DD36" t="e">
        <f>AND(#REF!,"AAAAAG3Zt2s=")</f>
        <v>#REF!</v>
      </c>
      <c r="DE36" t="e">
        <f>AND(#REF!,"AAAAAG3Zt2w=")</f>
        <v>#REF!</v>
      </c>
      <c r="DF36" t="e">
        <f>AND(#REF!,"AAAAAG3Zt20=")</f>
        <v>#REF!</v>
      </c>
      <c r="DG36" t="e">
        <f>AND(#REF!,"AAAAAG3Zt24=")</f>
        <v>#REF!</v>
      </c>
      <c r="DH36" t="e">
        <f>AND(#REF!,"AAAAAG3Zt28=")</f>
        <v>#REF!</v>
      </c>
      <c r="DI36" t="e">
        <f>AND(#REF!,"AAAAAG3Zt3A=")</f>
        <v>#REF!</v>
      </c>
      <c r="DJ36" t="e">
        <f>AND(#REF!,"AAAAAG3Zt3E=")</f>
        <v>#REF!</v>
      </c>
      <c r="DK36" t="e">
        <f>AND(#REF!,"AAAAAG3Zt3I=")</f>
        <v>#REF!</v>
      </c>
      <c r="DL36" t="e">
        <f>AND(#REF!,"AAAAAG3Zt3M=")</f>
        <v>#REF!</v>
      </c>
      <c r="DM36" t="e">
        <f>AND(#REF!,"AAAAAG3Zt3Q=")</f>
        <v>#REF!</v>
      </c>
      <c r="DN36" t="e">
        <f>AND(#REF!,"AAAAAG3Zt3U=")</f>
        <v>#REF!</v>
      </c>
      <c r="DO36" t="e">
        <f>AND(#REF!,"AAAAAG3Zt3Y=")</f>
        <v>#REF!</v>
      </c>
      <c r="DP36" t="e">
        <f>AND(#REF!,"AAAAAG3Zt3c=")</f>
        <v>#REF!</v>
      </c>
      <c r="DQ36" t="e">
        <f>AND(#REF!,"AAAAAG3Zt3g=")</f>
        <v>#REF!</v>
      </c>
      <c r="DR36" t="e">
        <f>AND(#REF!,"AAAAAG3Zt3k=")</f>
        <v>#REF!</v>
      </c>
      <c r="DS36" t="e">
        <f>AND(#REF!,"AAAAAG3Zt3o=")</f>
        <v>#REF!</v>
      </c>
      <c r="DT36" t="e">
        <f>AND(#REF!,"AAAAAG3Zt3s=")</f>
        <v>#REF!</v>
      </c>
      <c r="DU36" t="e">
        <f>AND(#REF!,"AAAAAG3Zt3w=")</f>
        <v>#REF!</v>
      </c>
      <c r="DV36" t="e">
        <f>AND(#REF!,"AAAAAG3Zt30=")</f>
        <v>#REF!</v>
      </c>
      <c r="DW36" t="e">
        <f>AND(#REF!,"AAAAAG3Zt34=")</f>
        <v>#REF!</v>
      </c>
      <c r="DX36" t="e">
        <f>AND(#REF!,"AAAAAG3Zt38=")</f>
        <v>#REF!</v>
      </c>
      <c r="DY36" t="e">
        <f>AND(#REF!,"AAAAAG3Zt4A=")</f>
        <v>#REF!</v>
      </c>
      <c r="DZ36" t="e">
        <f>AND(#REF!,"AAAAAG3Zt4E=")</f>
        <v>#REF!</v>
      </c>
      <c r="EA36" t="e">
        <f>AND(#REF!,"AAAAAG3Zt4I=")</f>
        <v>#REF!</v>
      </c>
      <c r="EB36" t="e">
        <f>AND(#REF!,"AAAAAG3Zt4M=")</f>
        <v>#REF!</v>
      </c>
      <c r="EC36" t="e">
        <f>AND(#REF!,"AAAAAG3Zt4Q=")</f>
        <v>#REF!</v>
      </c>
      <c r="ED36" t="e">
        <f>AND(#REF!,"AAAAAG3Zt4U=")</f>
        <v>#REF!</v>
      </c>
      <c r="EE36" t="e">
        <f>AND(#REF!,"AAAAAG3Zt4Y=")</f>
        <v>#REF!</v>
      </c>
      <c r="EF36" t="e">
        <f>AND(#REF!,"AAAAAG3Zt4c=")</f>
        <v>#REF!</v>
      </c>
      <c r="EG36" t="e">
        <f>AND(#REF!,"AAAAAG3Zt4g=")</f>
        <v>#REF!</v>
      </c>
      <c r="EH36" t="e">
        <f>AND(#REF!,"AAAAAG3Zt4k=")</f>
        <v>#REF!</v>
      </c>
      <c r="EI36" t="e">
        <f>AND(#REF!,"AAAAAG3Zt4o=")</f>
        <v>#REF!</v>
      </c>
      <c r="EJ36" t="e">
        <f>IF(#REF!,"AAAAAG3Zt4s=",0)</f>
        <v>#REF!</v>
      </c>
      <c r="EK36" t="e">
        <f>AND(#REF!,"AAAAAG3Zt4w=")</f>
        <v>#REF!</v>
      </c>
      <c r="EL36" t="e">
        <f>AND(#REF!,"AAAAAG3Zt40=")</f>
        <v>#REF!</v>
      </c>
      <c r="EM36" t="e">
        <f>AND(#REF!,"AAAAAG3Zt44=")</f>
        <v>#REF!</v>
      </c>
      <c r="EN36" t="e">
        <f>AND(#REF!,"AAAAAG3Zt48=")</f>
        <v>#REF!</v>
      </c>
      <c r="EO36" t="e">
        <f>AND(#REF!,"AAAAAG3Zt5A=")</f>
        <v>#REF!</v>
      </c>
      <c r="EP36" t="e">
        <f>AND(#REF!,"AAAAAG3Zt5E=")</f>
        <v>#REF!</v>
      </c>
      <c r="EQ36" t="e">
        <f>AND(#REF!,"AAAAAG3Zt5I=")</f>
        <v>#REF!</v>
      </c>
      <c r="ER36" t="e">
        <f>AND(#REF!,"AAAAAG3Zt5M=")</f>
        <v>#REF!</v>
      </c>
      <c r="ES36" t="e">
        <f>AND(#REF!,"AAAAAG3Zt5Q=")</f>
        <v>#REF!</v>
      </c>
      <c r="ET36" t="e">
        <f>AND(#REF!,"AAAAAG3Zt5U=")</f>
        <v>#REF!</v>
      </c>
      <c r="EU36" t="e">
        <f>AND(#REF!,"AAAAAG3Zt5Y=")</f>
        <v>#REF!</v>
      </c>
      <c r="EV36" t="e">
        <f>AND(#REF!,"AAAAAG3Zt5c=")</f>
        <v>#REF!</v>
      </c>
      <c r="EW36" t="e">
        <f>AND(#REF!,"AAAAAG3Zt5g=")</f>
        <v>#REF!</v>
      </c>
      <c r="EX36" t="e">
        <f>AND(#REF!,"AAAAAG3Zt5k=")</f>
        <v>#REF!</v>
      </c>
      <c r="EY36" t="e">
        <f>AND(#REF!,"AAAAAG3Zt5o=")</f>
        <v>#REF!</v>
      </c>
      <c r="EZ36" t="e">
        <f>AND(#REF!,"AAAAAG3Zt5s=")</f>
        <v>#REF!</v>
      </c>
      <c r="FA36" t="e">
        <f>AND(#REF!,"AAAAAG3Zt5w=")</f>
        <v>#REF!</v>
      </c>
      <c r="FB36" t="e">
        <f>AND(#REF!,"AAAAAG3Zt50=")</f>
        <v>#REF!</v>
      </c>
      <c r="FC36" t="e">
        <f>AND(#REF!,"AAAAAG3Zt54=")</f>
        <v>#REF!</v>
      </c>
      <c r="FD36" t="e">
        <f>AND(#REF!,"AAAAAG3Zt58=")</f>
        <v>#REF!</v>
      </c>
      <c r="FE36" t="e">
        <f>AND(#REF!,"AAAAAG3Zt6A=")</f>
        <v>#REF!</v>
      </c>
      <c r="FF36" t="e">
        <f>AND(#REF!,"AAAAAG3Zt6E=")</f>
        <v>#REF!</v>
      </c>
      <c r="FG36" t="e">
        <f>AND(#REF!,"AAAAAG3Zt6I=")</f>
        <v>#REF!</v>
      </c>
      <c r="FH36" t="e">
        <f>AND(#REF!,"AAAAAG3Zt6M=")</f>
        <v>#REF!</v>
      </c>
      <c r="FI36" t="e">
        <f>AND(#REF!,"AAAAAG3Zt6Q=")</f>
        <v>#REF!</v>
      </c>
      <c r="FJ36" t="e">
        <f>AND(#REF!,"AAAAAG3Zt6U=")</f>
        <v>#REF!</v>
      </c>
      <c r="FK36" t="e">
        <f>AND(#REF!,"AAAAAG3Zt6Y=")</f>
        <v>#REF!</v>
      </c>
      <c r="FL36" t="e">
        <f>AND(#REF!,"AAAAAG3Zt6c=")</f>
        <v>#REF!</v>
      </c>
      <c r="FM36" t="e">
        <f>AND(#REF!,"AAAAAG3Zt6g=")</f>
        <v>#REF!</v>
      </c>
      <c r="FN36" t="e">
        <f>AND(#REF!,"AAAAAG3Zt6k=")</f>
        <v>#REF!</v>
      </c>
      <c r="FO36" t="e">
        <f>AND(#REF!,"AAAAAG3Zt6o=")</f>
        <v>#REF!</v>
      </c>
      <c r="FP36" t="e">
        <f>AND(#REF!,"AAAAAG3Zt6s=")</f>
        <v>#REF!</v>
      </c>
      <c r="FQ36" t="e">
        <f>AND(#REF!,"AAAAAG3Zt6w=")</f>
        <v>#REF!</v>
      </c>
      <c r="FR36" t="e">
        <f>AND(#REF!,"AAAAAG3Zt60=")</f>
        <v>#REF!</v>
      </c>
      <c r="FS36" t="e">
        <f>AND(#REF!,"AAAAAG3Zt64=")</f>
        <v>#REF!</v>
      </c>
      <c r="FT36" t="e">
        <f>AND(#REF!,"AAAAAG3Zt68=")</f>
        <v>#REF!</v>
      </c>
      <c r="FU36" t="e">
        <f>AND(#REF!,"AAAAAG3Zt7A=")</f>
        <v>#REF!</v>
      </c>
      <c r="FV36" t="e">
        <f>AND(#REF!,"AAAAAG3Zt7E=")</f>
        <v>#REF!</v>
      </c>
      <c r="FW36" t="e">
        <f>AND(#REF!,"AAAAAG3Zt7I=")</f>
        <v>#REF!</v>
      </c>
      <c r="FX36" t="e">
        <f>IF(#REF!,"AAAAAG3Zt7M=",0)</f>
        <v>#REF!</v>
      </c>
      <c r="FY36" t="e">
        <f>AND(#REF!,"AAAAAG3Zt7Q=")</f>
        <v>#REF!</v>
      </c>
      <c r="FZ36" t="e">
        <f>AND(#REF!,"AAAAAG3Zt7U=")</f>
        <v>#REF!</v>
      </c>
      <c r="GA36" t="e">
        <f>AND(#REF!,"AAAAAG3Zt7Y=")</f>
        <v>#REF!</v>
      </c>
      <c r="GB36" t="e">
        <f>AND(#REF!,"AAAAAG3Zt7c=")</f>
        <v>#REF!</v>
      </c>
      <c r="GC36" t="e">
        <f>AND(#REF!,"AAAAAG3Zt7g=")</f>
        <v>#REF!</v>
      </c>
      <c r="GD36" t="e">
        <f>AND(#REF!,"AAAAAG3Zt7k=")</f>
        <v>#REF!</v>
      </c>
      <c r="GE36" t="e">
        <f>AND(#REF!,"AAAAAG3Zt7o=")</f>
        <v>#REF!</v>
      </c>
      <c r="GF36" t="e">
        <f>AND(#REF!,"AAAAAG3Zt7s=")</f>
        <v>#REF!</v>
      </c>
      <c r="GG36" t="e">
        <f>AND(#REF!,"AAAAAG3Zt7w=")</f>
        <v>#REF!</v>
      </c>
      <c r="GH36" t="e">
        <f>AND(#REF!,"AAAAAG3Zt70=")</f>
        <v>#REF!</v>
      </c>
      <c r="GI36" t="e">
        <f>AND(#REF!,"AAAAAG3Zt74=")</f>
        <v>#REF!</v>
      </c>
      <c r="GJ36" t="e">
        <f>AND(#REF!,"AAAAAG3Zt78=")</f>
        <v>#REF!</v>
      </c>
      <c r="GK36" t="e">
        <f>AND(#REF!,"AAAAAG3Zt8A=")</f>
        <v>#REF!</v>
      </c>
      <c r="GL36" t="e">
        <f>AND(#REF!,"AAAAAG3Zt8E=")</f>
        <v>#REF!</v>
      </c>
      <c r="GM36" t="e">
        <f>AND(#REF!,"AAAAAG3Zt8I=")</f>
        <v>#REF!</v>
      </c>
      <c r="GN36" t="e">
        <f>AND(#REF!,"AAAAAG3Zt8M=")</f>
        <v>#REF!</v>
      </c>
      <c r="GO36" t="e">
        <f>AND(#REF!,"AAAAAG3Zt8Q=")</f>
        <v>#REF!</v>
      </c>
      <c r="GP36" t="e">
        <f>AND(#REF!,"AAAAAG3Zt8U=")</f>
        <v>#REF!</v>
      </c>
      <c r="GQ36" t="e">
        <f>AND(#REF!,"AAAAAG3Zt8Y=")</f>
        <v>#REF!</v>
      </c>
      <c r="GR36" t="e">
        <f>AND(#REF!,"AAAAAG3Zt8c=")</f>
        <v>#REF!</v>
      </c>
      <c r="GS36" t="e">
        <f>AND(#REF!,"AAAAAG3Zt8g=")</f>
        <v>#REF!</v>
      </c>
      <c r="GT36" t="e">
        <f>AND(#REF!,"AAAAAG3Zt8k=")</f>
        <v>#REF!</v>
      </c>
      <c r="GU36" t="e">
        <f>AND(#REF!,"AAAAAG3Zt8o=")</f>
        <v>#REF!</v>
      </c>
      <c r="GV36" t="e">
        <f>AND(#REF!,"AAAAAG3Zt8s=")</f>
        <v>#REF!</v>
      </c>
      <c r="GW36" t="e">
        <f>AND(#REF!,"AAAAAG3Zt8w=")</f>
        <v>#REF!</v>
      </c>
      <c r="GX36" t="e">
        <f>AND(#REF!,"AAAAAG3Zt80=")</f>
        <v>#REF!</v>
      </c>
      <c r="GY36" t="e">
        <f>AND(#REF!,"AAAAAG3Zt84=")</f>
        <v>#REF!</v>
      </c>
      <c r="GZ36" t="e">
        <f>AND(#REF!,"AAAAAG3Zt88=")</f>
        <v>#REF!</v>
      </c>
      <c r="HA36" t="e">
        <f>AND(#REF!,"AAAAAG3Zt9A=")</f>
        <v>#REF!</v>
      </c>
      <c r="HB36" t="e">
        <f>AND(#REF!,"AAAAAG3Zt9E=")</f>
        <v>#REF!</v>
      </c>
      <c r="HC36" t="e">
        <f>AND(#REF!,"AAAAAG3Zt9I=")</f>
        <v>#REF!</v>
      </c>
      <c r="HD36" t="e">
        <f>AND(#REF!,"AAAAAG3Zt9M=")</f>
        <v>#REF!</v>
      </c>
      <c r="HE36" t="e">
        <f>AND(#REF!,"AAAAAG3Zt9Q=")</f>
        <v>#REF!</v>
      </c>
      <c r="HF36" t="e">
        <f>AND(#REF!,"AAAAAG3Zt9U=")</f>
        <v>#REF!</v>
      </c>
      <c r="HG36" t="e">
        <f>AND(#REF!,"AAAAAG3Zt9Y=")</f>
        <v>#REF!</v>
      </c>
      <c r="HH36" t="e">
        <f>AND(#REF!,"AAAAAG3Zt9c=")</f>
        <v>#REF!</v>
      </c>
      <c r="HI36" t="e">
        <f>AND(#REF!,"AAAAAG3Zt9g=")</f>
        <v>#REF!</v>
      </c>
      <c r="HJ36" t="e">
        <f>AND(#REF!,"AAAAAG3Zt9k=")</f>
        <v>#REF!</v>
      </c>
      <c r="HK36" t="e">
        <f>AND(#REF!,"AAAAAG3Zt9o=")</f>
        <v>#REF!</v>
      </c>
      <c r="HL36" t="e">
        <f>IF(#REF!,"AAAAAG3Zt9s=",0)</f>
        <v>#REF!</v>
      </c>
      <c r="HM36" t="e">
        <f>AND(#REF!,"AAAAAG3Zt9w=")</f>
        <v>#REF!</v>
      </c>
      <c r="HN36" t="e">
        <f>AND(#REF!,"AAAAAG3Zt90=")</f>
        <v>#REF!</v>
      </c>
      <c r="HO36" t="e">
        <f>AND(#REF!,"AAAAAG3Zt94=")</f>
        <v>#REF!</v>
      </c>
      <c r="HP36" t="e">
        <f>AND(#REF!,"AAAAAG3Zt98=")</f>
        <v>#REF!</v>
      </c>
      <c r="HQ36" t="e">
        <f>AND(#REF!,"AAAAAG3Zt+A=")</f>
        <v>#REF!</v>
      </c>
      <c r="HR36" t="e">
        <f>AND(#REF!,"AAAAAG3Zt+E=")</f>
        <v>#REF!</v>
      </c>
      <c r="HS36" t="e">
        <f>AND(#REF!,"AAAAAG3Zt+I=")</f>
        <v>#REF!</v>
      </c>
      <c r="HT36" t="e">
        <f>AND(#REF!,"AAAAAG3Zt+M=")</f>
        <v>#REF!</v>
      </c>
      <c r="HU36" t="e">
        <f>AND(#REF!,"AAAAAG3Zt+Q=")</f>
        <v>#REF!</v>
      </c>
      <c r="HV36" t="e">
        <f>AND(#REF!,"AAAAAG3Zt+U=")</f>
        <v>#REF!</v>
      </c>
      <c r="HW36" t="e">
        <f>AND(#REF!,"AAAAAG3Zt+Y=")</f>
        <v>#REF!</v>
      </c>
      <c r="HX36" t="e">
        <f>AND(#REF!,"AAAAAG3Zt+c=")</f>
        <v>#REF!</v>
      </c>
      <c r="HY36" t="e">
        <f>AND(#REF!,"AAAAAG3Zt+g=")</f>
        <v>#REF!</v>
      </c>
      <c r="HZ36" t="e">
        <f>AND(#REF!,"AAAAAG3Zt+k=")</f>
        <v>#REF!</v>
      </c>
      <c r="IA36" t="e">
        <f>AND(#REF!,"AAAAAG3Zt+o=")</f>
        <v>#REF!</v>
      </c>
      <c r="IB36" t="e">
        <f>AND(#REF!,"AAAAAG3Zt+s=")</f>
        <v>#REF!</v>
      </c>
      <c r="IC36" t="e">
        <f>AND(#REF!,"AAAAAG3Zt+w=")</f>
        <v>#REF!</v>
      </c>
      <c r="ID36" t="e">
        <f>AND(#REF!,"AAAAAG3Zt+0=")</f>
        <v>#REF!</v>
      </c>
      <c r="IE36" t="e">
        <f>AND(#REF!,"AAAAAG3Zt+4=")</f>
        <v>#REF!</v>
      </c>
      <c r="IF36" t="e">
        <f>AND(#REF!,"AAAAAG3Zt+8=")</f>
        <v>#REF!</v>
      </c>
      <c r="IG36" t="e">
        <f>AND(#REF!,"AAAAAG3Zt/A=")</f>
        <v>#REF!</v>
      </c>
      <c r="IH36" t="e">
        <f>AND(#REF!,"AAAAAG3Zt/E=")</f>
        <v>#REF!</v>
      </c>
      <c r="II36" t="e">
        <f>AND(#REF!,"AAAAAG3Zt/I=")</f>
        <v>#REF!</v>
      </c>
      <c r="IJ36" t="e">
        <f>AND(#REF!,"AAAAAG3Zt/M=")</f>
        <v>#REF!</v>
      </c>
      <c r="IK36" t="e">
        <f>AND(#REF!,"AAAAAG3Zt/Q=")</f>
        <v>#REF!</v>
      </c>
      <c r="IL36" t="e">
        <f>AND(#REF!,"AAAAAG3Zt/U=")</f>
        <v>#REF!</v>
      </c>
      <c r="IM36" t="e">
        <f>AND(#REF!,"AAAAAG3Zt/Y=")</f>
        <v>#REF!</v>
      </c>
      <c r="IN36" t="e">
        <f>AND(#REF!,"AAAAAG3Zt/c=")</f>
        <v>#REF!</v>
      </c>
      <c r="IO36" t="e">
        <f>AND(#REF!,"AAAAAG3Zt/g=")</f>
        <v>#REF!</v>
      </c>
      <c r="IP36" t="e">
        <f>AND(#REF!,"AAAAAG3Zt/k=")</f>
        <v>#REF!</v>
      </c>
      <c r="IQ36" t="e">
        <f>AND(#REF!,"AAAAAG3Zt/o=")</f>
        <v>#REF!</v>
      </c>
      <c r="IR36" t="e">
        <f>AND(#REF!,"AAAAAG3Zt/s=")</f>
        <v>#REF!</v>
      </c>
      <c r="IS36" t="e">
        <f>AND(#REF!,"AAAAAG3Zt/w=")</f>
        <v>#REF!</v>
      </c>
      <c r="IT36" t="e">
        <f>AND(#REF!,"AAAAAG3Zt/0=")</f>
        <v>#REF!</v>
      </c>
      <c r="IU36" t="e">
        <f>AND(#REF!,"AAAAAG3Zt/4=")</f>
        <v>#REF!</v>
      </c>
      <c r="IV36" t="e">
        <f>AND(#REF!,"AAAAAG3Zt/8=")</f>
        <v>#REF!</v>
      </c>
    </row>
    <row r="37" spans="1:256" x14ac:dyDescent="0.35">
      <c r="A37" t="e">
        <f>AND(#REF!,"AAAAAGPXXQA=")</f>
        <v>#REF!</v>
      </c>
      <c r="B37" t="e">
        <f>AND(#REF!,"AAAAAGPXXQE=")</f>
        <v>#REF!</v>
      </c>
      <c r="C37" t="e">
        <f>AND(#REF!,"AAAAAGPXXQI=")</f>
        <v>#REF!</v>
      </c>
      <c r="D37" t="e">
        <f>IF(#REF!,"AAAAAGPXXQM=",0)</f>
        <v>#REF!</v>
      </c>
      <c r="E37" t="e">
        <f>AND(#REF!,"AAAAAGPXXQQ=")</f>
        <v>#REF!</v>
      </c>
      <c r="F37" t="e">
        <f>AND(#REF!,"AAAAAGPXXQU=")</f>
        <v>#REF!</v>
      </c>
      <c r="G37" t="e">
        <f>AND(#REF!,"AAAAAGPXXQY=")</f>
        <v>#REF!</v>
      </c>
      <c r="H37" t="e">
        <f>AND(#REF!,"AAAAAGPXXQc=")</f>
        <v>#REF!</v>
      </c>
      <c r="I37" t="e">
        <f>AND(#REF!,"AAAAAGPXXQg=")</f>
        <v>#REF!</v>
      </c>
      <c r="J37" t="e">
        <f>AND(#REF!,"AAAAAGPXXQk=")</f>
        <v>#REF!</v>
      </c>
      <c r="K37" t="e">
        <f>AND(#REF!,"AAAAAGPXXQo=")</f>
        <v>#REF!</v>
      </c>
      <c r="L37" t="e">
        <f>AND(#REF!,"AAAAAGPXXQs=")</f>
        <v>#REF!</v>
      </c>
      <c r="M37" t="e">
        <f>AND(#REF!,"AAAAAGPXXQw=")</f>
        <v>#REF!</v>
      </c>
      <c r="N37" t="e">
        <f>AND(#REF!,"AAAAAGPXXQ0=")</f>
        <v>#REF!</v>
      </c>
      <c r="O37" t="e">
        <f>AND(#REF!,"AAAAAGPXXQ4=")</f>
        <v>#REF!</v>
      </c>
      <c r="P37" t="e">
        <f>AND(#REF!,"AAAAAGPXXQ8=")</f>
        <v>#REF!</v>
      </c>
      <c r="Q37" t="e">
        <f>AND(#REF!,"AAAAAGPXXRA=")</f>
        <v>#REF!</v>
      </c>
      <c r="R37" t="e">
        <f>AND(#REF!,"AAAAAGPXXRE=")</f>
        <v>#REF!</v>
      </c>
      <c r="S37" t="e">
        <f>AND(#REF!,"AAAAAGPXXRI=")</f>
        <v>#REF!</v>
      </c>
      <c r="T37" t="e">
        <f>AND(#REF!,"AAAAAGPXXRM=")</f>
        <v>#REF!</v>
      </c>
      <c r="U37" t="e">
        <f>AND(#REF!,"AAAAAGPXXRQ=")</f>
        <v>#REF!</v>
      </c>
      <c r="V37" t="e">
        <f>AND(#REF!,"AAAAAGPXXRU=")</f>
        <v>#REF!</v>
      </c>
      <c r="W37" t="e">
        <f>AND(#REF!,"AAAAAGPXXRY=")</f>
        <v>#REF!</v>
      </c>
      <c r="X37" t="e">
        <f>AND(#REF!,"AAAAAGPXXRc=")</f>
        <v>#REF!</v>
      </c>
      <c r="Y37" t="e">
        <f>AND(#REF!,"AAAAAGPXXRg=")</f>
        <v>#REF!</v>
      </c>
      <c r="Z37" t="e">
        <f>AND(#REF!,"AAAAAGPXXRk=")</f>
        <v>#REF!</v>
      </c>
      <c r="AA37" t="e">
        <f>AND(#REF!,"AAAAAGPXXRo=")</f>
        <v>#REF!</v>
      </c>
      <c r="AB37" t="e">
        <f>AND(#REF!,"AAAAAGPXXRs=")</f>
        <v>#REF!</v>
      </c>
      <c r="AC37" t="e">
        <f>AND(#REF!,"AAAAAGPXXRw=")</f>
        <v>#REF!</v>
      </c>
      <c r="AD37" t="e">
        <f>AND(#REF!,"AAAAAGPXXR0=")</f>
        <v>#REF!</v>
      </c>
      <c r="AE37" t="e">
        <f>AND(#REF!,"AAAAAGPXXR4=")</f>
        <v>#REF!</v>
      </c>
      <c r="AF37" t="e">
        <f>AND(#REF!,"AAAAAGPXXR8=")</f>
        <v>#REF!</v>
      </c>
      <c r="AG37" t="e">
        <f>AND(#REF!,"AAAAAGPXXSA=")</f>
        <v>#REF!</v>
      </c>
      <c r="AH37" t="e">
        <f>AND(#REF!,"AAAAAGPXXSE=")</f>
        <v>#REF!</v>
      </c>
      <c r="AI37" t="e">
        <f>AND(#REF!,"AAAAAGPXXSI=")</f>
        <v>#REF!</v>
      </c>
      <c r="AJ37" t="e">
        <f>AND(#REF!,"AAAAAGPXXSM=")</f>
        <v>#REF!</v>
      </c>
      <c r="AK37" t="e">
        <f>AND(#REF!,"AAAAAGPXXSQ=")</f>
        <v>#REF!</v>
      </c>
      <c r="AL37" t="e">
        <f>AND(#REF!,"AAAAAGPXXSU=")</f>
        <v>#REF!</v>
      </c>
      <c r="AM37" t="e">
        <f>AND(#REF!,"AAAAAGPXXSY=")</f>
        <v>#REF!</v>
      </c>
      <c r="AN37" t="e">
        <f>AND(#REF!,"AAAAAGPXXSc=")</f>
        <v>#REF!</v>
      </c>
      <c r="AO37" t="e">
        <f>AND(#REF!,"AAAAAGPXXSg=")</f>
        <v>#REF!</v>
      </c>
      <c r="AP37" t="e">
        <f>AND(#REF!,"AAAAAGPXXSk=")</f>
        <v>#REF!</v>
      </c>
      <c r="AQ37" t="e">
        <f>AND(#REF!,"AAAAAGPXXSo=")</f>
        <v>#REF!</v>
      </c>
      <c r="AR37" t="e">
        <f>IF(#REF!,"AAAAAGPXXSs=",0)</f>
        <v>#REF!</v>
      </c>
      <c r="AS37" t="e">
        <f>AND(#REF!,"AAAAAGPXXSw=")</f>
        <v>#REF!</v>
      </c>
      <c r="AT37" t="e">
        <f>AND(#REF!,"AAAAAGPXXS0=")</f>
        <v>#REF!</v>
      </c>
      <c r="AU37" t="e">
        <f>AND(#REF!,"AAAAAGPXXS4=")</f>
        <v>#REF!</v>
      </c>
      <c r="AV37" t="e">
        <f>AND(#REF!,"AAAAAGPXXS8=")</f>
        <v>#REF!</v>
      </c>
      <c r="AW37" t="e">
        <f>AND(#REF!,"AAAAAGPXXTA=")</f>
        <v>#REF!</v>
      </c>
      <c r="AX37" t="e">
        <f>AND(#REF!,"AAAAAGPXXTE=")</f>
        <v>#REF!</v>
      </c>
      <c r="AY37" t="e">
        <f>AND(#REF!,"AAAAAGPXXTI=")</f>
        <v>#REF!</v>
      </c>
      <c r="AZ37" t="e">
        <f>AND(#REF!,"AAAAAGPXXTM=")</f>
        <v>#REF!</v>
      </c>
      <c r="BA37" t="e">
        <f>AND(#REF!,"AAAAAGPXXTQ=")</f>
        <v>#REF!</v>
      </c>
      <c r="BB37" t="e">
        <f>AND(#REF!,"AAAAAGPXXTU=")</f>
        <v>#REF!</v>
      </c>
      <c r="BC37" t="e">
        <f>AND(#REF!,"AAAAAGPXXTY=")</f>
        <v>#REF!</v>
      </c>
      <c r="BD37" t="e">
        <f>AND(#REF!,"AAAAAGPXXTc=")</f>
        <v>#REF!</v>
      </c>
      <c r="BE37" t="e">
        <f>AND(#REF!,"AAAAAGPXXTg=")</f>
        <v>#REF!</v>
      </c>
      <c r="BF37" t="e">
        <f>AND(#REF!,"AAAAAGPXXTk=")</f>
        <v>#REF!</v>
      </c>
      <c r="BG37" t="e">
        <f>AND(#REF!,"AAAAAGPXXTo=")</f>
        <v>#REF!</v>
      </c>
      <c r="BH37" t="e">
        <f>AND(#REF!,"AAAAAGPXXTs=")</f>
        <v>#REF!</v>
      </c>
      <c r="BI37" t="e">
        <f>AND(#REF!,"AAAAAGPXXTw=")</f>
        <v>#REF!</v>
      </c>
      <c r="BJ37" t="e">
        <f>AND(#REF!,"AAAAAGPXXT0=")</f>
        <v>#REF!</v>
      </c>
      <c r="BK37" t="e">
        <f>AND(#REF!,"AAAAAGPXXT4=")</f>
        <v>#REF!</v>
      </c>
      <c r="BL37" t="e">
        <f>AND(#REF!,"AAAAAGPXXT8=")</f>
        <v>#REF!</v>
      </c>
      <c r="BM37" t="e">
        <f>AND(#REF!,"AAAAAGPXXUA=")</f>
        <v>#REF!</v>
      </c>
      <c r="BN37" t="e">
        <f>AND(#REF!,"AAAAAGPXXUE=")</f>
        <v>#REF!</v>
      </c>
      <c r="BO37" t="e">
        <f>AND(#REF!,"AAAAAGPXXUI=")</f>
        <v>#REF!</v>
      </c>
      <c r="BP37" t="e">
        <f>AND(#REF!,"AAAAAGPXXUM=")</f>
        <v>#REF!</v>
      </c>
      <c r="BQ37" t="e">
        <f>AND(#REF!,"AAAAAGPXXUQ=")</f>
        <v>#REF!</v>
      </c>
      <c r="BR37" t="e">
        <f>AND(#REF!,"AAAAAGPXXUU=")</f>
        <v>#REF!</v>
      </c>
      <c r="BS37" t="e">
        <f>AND(#REF!,"AAAAAGPXXUY=")</f>
        <v>#REF!</v>
      </c>
      <c r="BT37" t="e">
        <f>AND(#REF!,"AAAAAGPXXUc=")</f>
        <v>#REF!</v>
      </c>
      <c r="BU37" t="e">
        <f>AND(#REF!,"AAAAAGPXXUg=")</f>
        <v>#REF!</v>
      </c>
      <c r="BV37" t="e">
        <f>AND(#REF!,"AAAAAGPXXUk=")</f>
        <v>#REF!</v>
      </c>
      <c r="BW37" t="e">
        <f>AND(#REF!,"AAAAAGPXXUo=")</f>
        <v>#REF!</v>
      </c>
      <c r="BX37" t="e">
        <f>AND(#REF!,"AAAAAGPXXUs=")</f>
        <v>#REF!</v>
      </c>
      <c r="BY37" t="e">
        <f>AND(#REF!,"AAAAAGPXXUw=")</f>
        <v>#REF!</v>
      </c>
      <c r="BZ37" t="e">
        <f>AND(#REF!,"AAAAAGPXXU0=")</f>
        <v>#REF!</v>
      </c>
      <c r="CA37" t="e">
        <f>AND(#REF!,"AAAAAGPXXU4=")</f>
        <v>#REF!</v>
      </c>
      <c r="CB37" t="e">
        <f>AND(#REF!,"AAAAAGPXXU8=")</f>
        <v>#REF!</v>
      </c>
      <c r="CC37" t="e">
        <f>AND(#REF!,"AAAAAGPXXVA=")</f>
        <v>#REF!</v>
      </c>
      <c r="CD37" t="e">
        <f>AND(#REF!,"AAAAAGPXXVE=")</f>
        <v>#REF!</v>
      </c>
      <c r="CE37" t="e">
        <f>AND(#REF!,"AAAAAGPXXVI=")</f>
        <v>#REF!</v>
      </c>
      <c r="CF37" t="e">
        <f>IF(#REF!,"AAAAAGPXXVM=",0)</f>
        <v>#REF!</v>
      </c>
      <c r="CG37" t="e">
        <f>AND(#REF!,"AAAAAGPXXVQ=")</f>
        <v>#REF!</v>
      </c>
      <c r="CH37" t="e">
        <f>AND(#REF!,"AAAAAGPXXVU=")</f>
        <v>#REF!</v>
      </c>
      <c r="CI37" t="e">
        <f>AND(#REF!,"AAAAAGPXXVY=")</f>
        <v>#REF!</v>
      </c>
      <c r="CJ37" t="e">
        <f>AND(#REF!,"AAAAAGPXXVc=")</f>
        <v>#REF!</v>
      </c>
      <c r="CK37" t="e">
        <f>AND(#REF!,"AAAAAGPXXVg=")</f>
        <v>#REF!</v>
      </c>
      <c r="CL37" t="e">
        <f>AND(#REF!,"AAAAAGPXXVk=")</f>
        <v>#REF!</v>
      </c>
      <c r="CM37" t="e">
        <f>AND(#REF!,"AAAAAGPXXVo=")</f>
        <v>#REF!</v>
      </c>
      <c r="CN37" t="e">
        <f>AND(#REF!,"AAAAAGPXXVs=")</f>
        <v>#REF!</v>
      </c>
      <c r="CO37" t="e">
        <f>AND(#REF!,"AAAAAGPXXVw=")</f>
        <v>#REF!</v>
      </c>
      <c r="CP37" t="e">
        <f>AND(#REF!,"AAAAAGPXXV0=")</f>
        <v>#REF!</v>
      </c>
      <c r="CQ37" t="e">
        <f>AND(#REF!,"AAAAAGPXXV4=")</f>
        <v>#REF!</v>
      </c>
      <c r="CR37" t="e">
        <f>AND(#REF!,"AAAAAGPXXV8=")</f>
        <v>#REF!</v>
      </c>
      <c r="CS37" t="e">
        <f>AND(#REF!,"AAAAAGPXXWA=")</f>
        <v>#REF!</v>
      </c>
      <c r="CT37" t="e">
        <f>AND(#REF!,"AAAAAGPXXWE=")</f>
        <v>#REF!</v>
      </c>
      <c r="CU37" t="e">
        <f>AND(#REF!,"AAAAAGPXXWI=")</f>
        <v>#REF!</v>
      </c>
      <c r="CV37" t="e">
        <f>AND(#REF!,"AAAAAGPXXWM=")</f>
        <v>#REF!</v>
      </c>
      <c r="CW37" t="e">
        <f>AND(#REF!,"AAAAAGPXXWQ=")</f>
        <v>#REF!</v>
      </c>
      <c r="CX37" t="e">
        <f>AND(#REF!,"AAAAAGPXXWU=")</f>
        <v>#REF!</v>
      </c>
      <c r="CY37" t="e">
        <f>AND(#REF!,"AAAAAGPXXWY=")</f>
        <v>#REF!</v>
      </c>
      <c r="CZ37" t="e">
        <f>AND(#REF!,"AAAAAGPXXWc=")</f>
        <v>#REF!</v>
      </c>
      <c r="DA37" t="e">
        <f>AND(#REF!,"AAAAAGPXXWg=")</f>
        <v>#REF!</v>
      </c>
      <c r="DB37" t="e">
        <f>AND(#REF!,"AAAAAGPXXWk=")</f>
        <v>#REF!</v>
      </c>
      <c r="DC37" t="e">
        <f>AND(#REF!,"AAAAAGPXXWo=")</f>
        <v>#REF!</v>
      </c>
      <c r="DD37" t="e">
        <f>AND(#REF!,"AAAAAGPXXWs=")</f>
        <v>#REF!</v>
      </c>
      <c r="DE37" t="e">
        <f>AND(#REF!,"AAAAAGPXXWw=")</f>
        <v>#REF!</v>
      </c>
      <c r="DF37" t="e">
        <f>AND(#REF!,"AAAAAGPXXW0=")</f>
        <v>#REF!</v>
      </c>
      <c r="DG37" t="e">
        <f>AND(#REF!,"AAAAAGPXXW4=")</f>
        <v>#REF!</v>
      </c>
      <c r="DH37" t="e">
        <f>AND(#REF!,"AAAAAGPXXW8=")</f>
        <v>#REF!</v>
      </c>
      <c r="DI37" t="e">
        <f>AND(#REF!,"AAAAAGPXXXA=")</f>
        <v>#REF!</v>
      </c>
      <c r="DJ37" t="e">
        <f>AND(#REF!,"AAAAAGPXXXE=")</f>
        <v>#REF!</v>
      </c>
      <c r="DK37" t="e">
        <f>AND(#REF!,"AAAAAGPXXXI=")</f>
        <v>#REF!</v>
      </c>
      <c r="DL37" t="e">
        <f>AND(#REF!,"AAAAAGPXXXM=")</f>
        <v>#REF!</v>
      </c>
      <c r="DM37" t="e">
        <f>AND(#REF!,"AAAAAGPXXXQ=")</f>
        <v>#REF!</v>
      </c>
      <c r="DN37" t="e">
        <f>AND(#REF!,"AAAAAGPXXXU=")</f>
        <v>#REF!</v>
      </c>
      <c r="DO37" t="e">
        <f>AND(#REF!,"AAAAAGPXXXY=")</f>
        <v>#REF!</v>
      </c>
      <c r="DP37" t="e">
        <f>AND(#REF!,"AAAAAGPXXXc=")</f>
        <v>#REF!</v>
      </c>
      <c r="DQ37" t="e">
        <f>AND(#REF!,"AAAAAGPXXXg=")</f>
        <v>#REF!</v>
      </c>
      <c r="DR37" t="e">
        <f>AND(#REF!,"AAAAAGPXXXk=")</f>
        <v>#REF!</v>
      </c>
      <c r="DS37" t="e">
        <f>AND(#REF!,"AAAAAGPXXXo=")</f>
        <v>#REF!</v>
      </c>
      <c r="DT37" t="e">
        <f>IF(#REF!,"AAAAAGPXXXs=",0)</f>
        <v>#REF!</v>
      </c>
      <c r="DU37" t="e">
        <f>AND(#REF!,"AAAAAGPXXXw=")</f>
        <v>#REF!</v>
      </c>
      <c r="DV37" t="e">
        <f>AND(#REF!,"AAAAAGPXXX0=")</f>
        <v>#REF!</v>
      </c>
      <c r="DW37" t="e">
        <f>AND(#REF!,"AAAAAGPXXX4=")</f>
        <v>#REF!</v>
      </c>
      <c r="DX37" t="e">
        <f>AND(#REF!,"AAAAAGPXXX8=")</f>
        <v>#REF!</v>
      </c>
      <c r="DY37" t="e">
        <f>AND(#REF!,"AAAAAGPXXYA=")</f>
        <v>#REF!</v>
      </c>
      <c r="DZ37" t="e">
        <f>AND(#REF!,"AAAAAGPXXYE=")</f>
        <v>#REF!</v>
      </c>
      <c r="EA37" t="e">
        <f>AND(#REF!,"AAAAAGPXXYI=")</f>
        <v>#REF!</v>
      </c>
      <c r="EB37" t="e">
        <f>AND(#REF!,"AAAAAGPXXYM=")</f>
        <v>#REF!</v>
      </c>
      <c r="EC37" t="e">
        <f>AND(#REF!,"AAAAAGPXXYQ=")</f>
        <v>#REF!</v>
      </c>
      <c r="ED37" t="e">
        <f>AND(#REF!,"AAAAAGPXXYU=")</f>
        <v>#REF!</v>
      </c>
      <c r="EE37" t="e">
        <f>AND(#REF!,"AAAAAGPXXYY=")</f>
        <v>#REF!</v>
      </c>
      <c r="EF37" t="e">
        <f>AND(#REF!,"AAAAAGPXXYc=")</f>
        <v>#REF!</v>
      </c>
      <c r="EG37" t="e">
        <f>AND(#REF!,"AAAAAGPXXYg=")</f>
        <v>#REF!</v>
      </c>
      <c r="EH37" t="e">
        <f>AND(#REF!,"AAAAAGPXXYk=")</f>
        <v>#REF!</v>
      </c>
      <c r="EI37" t="e">
        <f>AND(#REF!,"AAAAAGPXXYo=")</f>
        <v>#REF!</v>
      </c>
      <c r="EJ37" t="e">
        <f>AND(#REF!,"AAAAAGPXXYs=")</f>
        <v>#REF!</v>
      </c>
      <c r="EK37" t="e">
        <f>AND(#REF!,"AAAAAGPXXYw=")</f>
        <v>#REF!</v>
      </c>
      <c r="EL37" t="e">
        <f>AND(#REF!,"AAAAAGPXXY0=")</f>
        <v>#REF!</v>
      </c>
      <c r="EM37" t="e">
        <f>AND(#REF!,"AAAAAGPXXY4=")</f>
        <v>#REF!</v>
      </c>
      <c r="EN37" t="e">
        <f>AND(#REF!,"AAAAAGPXXY8=")</f>
        <v>#REF!</v>
      </c>
      <c r="EO37" t="e">
        <f>AND(#REF!,"AAAAAGPXXZA=")</f>
        <v>#REF!</v>
      </c>
      <c r="EP37" t="e">
        <f>AND(#REF!,"AAAAAGPXXZE=")</f>
        <v>#REF!</v>
      </c>
      <c r="EQ37" t="e">
        <f>AND(#REF!,"AAAAAGPXXZI=")</f>
        <v>#REF!</v>
      </c>
      <c r="ER37" t="e">
        <f>AND(#REF!,"AAAAAGPXXZM=")</f>
        <v>#REF!</v>
      </c>
      <c r="ES37" t="e">
        <f>AND(#REF!,"AAAAAGPXXZQ=")</f>
        <v>#REF!</v>
      </c>
      <c r="ET37" t="e">
        <f>AND(#REF!,"AAAAAGPXXZU=")</f>
        <v>#REF!</v>
      </c>
      <c r="EU37" t="e">
        <f>AND(#REF!,"AAAAAGPXXZY=")</f>
        <v>#REF!</v>
      </c>
      <c r="EV37" t="e">
        <f>AND(#REF!,"AAAAAGPXXZc=")</f>
        <v>#REF!</v>
      </c>
      <c r="EW37" t="e">
        <f>AND(#REF!,"AAAAAGPXXZg=")</f>
        <v>#REF!</v>
      </c>
      <c r="EX37" t="e">
        <f>AND(#REF!,"AAAAAGPXXZk=")</f>
        <v>#REF!</v>
      </c>
      <c r="EY37" t="e">
        <f>AND(#REF!,"AAAAAGPXXZo=")</f>
        <v>#REF!</v>
      </c>
      <c r="EZ37" t="e">
        <f>AND(#REF!,"AAAAAGPXXZs=")</f>
        <v>#REF!</v>
      </c>
      <c r="FA37" t="e">
        <f>AND(#REF!,"AAAAAGPXXZw=")</f>
        <v>#REF!</v>
      </c>
      <c r="FB37" t="e">
        <f>AND(#REF!,"AAAAAGPXXZ0=")</f>
        <v>#REF!</v>
      </c>
      <c r="FC37" t="e">
        <f>AND(#REF!,"AAAAAGPXXZ4=")</f>
        <v>#REF!</v>
      </c>
      <c r="FD37" t="e">
        <f>AND(#REF!,"AAAAAGPXXZ8=")</f>
        <v>#REF!</v>
      </c>
      <c r="FE37" t="e">
        <f>AND(#REF!,"AAAAAGPXXaA=")</f>
        <v>#REF!</v>
      </c>
      <c r="FF37" t="e">
        <f>AND(#REF!,"AAAAAGPXXaE=")</f>
        <v>#REF!</v>
      </c>
      <c r="FG37" t="e">
        <f>AND(#REF!,"AAAAAGPXXaI=")</f>
        <v>#REF!</v>
      </c>
      <c r="FH37" t="e">
        <f>IF(#REF!,"AAAAAGPXXaM=",0)</f>
        <v>#REF!</v>
      </c>
      <c r="FI37" t="e">
        <f>AND(#REF!,"AAAAAGPXXaQ=")</f>
        <v>#REF!</v>
      </c>
      <c r="FJ37" t="e">
        <f>AND(#REF!,"AAAAAGPXXaU=")</f>
        <v>#REF!</v>
      </c>
      <c r="FK37" t="e">
        <f>AND(#REF!,"AAAAAGPXXaY=")</f>
        <v>#REF!</v>
      </c>
      <c r="FL37" t="e">
        <f>AND(#REF!,"AAAAAGPXXac=")</f>
        <v>#REF!</v>
      </c>
      <c r="FM37" t="e">
        <f>AND(#REF!,"AAAAAGPXXag=")</f>
        <v>#REF!</v>
      </c>
      <c r="FN37" t="e">
        <f>AND(#REF!,"AAAAAGPXXak=")</f>
        <v>#REF!</v>
      </c>
      <c r="FO37" t="e">
        <f>AND(#REF!,"AAAAAGPXXao=")</f>
        <v>#REF!</v>
      </c>
      <c r="FP37" t="e">
        <f>AND(#REF!,"AAAAAGPXXas=")</f>
        <v>#REF!</v>
      </c>
      <c r="FQ37" t="e">
        <f>AND(#REF!,"AAAAAGPXXaw=")</f>
        <v>#REF!</v>
      </c>
      <c r="FR37" t="e">
        <f>AND(#REF!,"AAAAAGPXXa0=")</f>
        <v>#REF!</v>
      </c>
      <c r="FS37" t="e">
        <f>AND(#REF!,"AAAAAGPXXa4=")</f>
        <v>#REF!</v>
      </c>
      <c r="FT37" t="e">
        <f>AND(#REF!,"AAAAAGPXXa8=")</f>
        <v>#REF!</v>
      </c>
      <c r="FU37" t="e">
        <f>AND(#REF!,"AAAAAGPXXbA=")</f>
        <v>#REF!</v>
      </c>
      <c r="FV37" t="e">
        <f>AND(#REF!,"AAAAAGPXXbE=")</f>
        <v>#REF!</v>
      </c>
      <c r="FW37" t="e">
        <f>AND(#REF!,"AAAAAGPXXbI=")</f>
        <v>#REF!</v>
      </c>
      <c r="FX37" t="e">
        <f>AND(#REF!,"AAAAAGPXXbM=")</f>
        <v>#REF!</v>
      </c>
      <c r="FY37" t="e">
        <f>AND(#REF!,"AAAAAGPXXbQ=")</f>
        <v>#REF!</v>
      </c>
      <c r="FZ37" t="e">
        <f>AND(#REF!,"AAAAAGPXXbU=")</f>
        <v>#REF!</v>
      </c>
      <c r="GA37" t="e">
        <f>AND(#REF!,"AAAAAGPXXbY=")</f>
        <v>#REF!</v>
      </c>
      <c r="GB37" t="e">
        <f>AND(#REF!,"AAAAAGPXXbc=")</f>
        <v>#REF!</v>
      </c>
      <c r="GC37" t="e">
        <f>AND(#REF!,"AAAAAGPXXbg=")</f>
        <v>#REF!</v>
      </c>
      <c r="GD37" t="e">
        <f>AND(#REF!,"AAAAAGPXXbk=")</f>
        <v>#REF!</v>
      </c>
      <c r="GE37" t="e">
        <f>AND(#REF!,"AAAAAGPXXbo=")</f>
        <v>#REF!</v>
      </c>
      <c r="GF37" t="e">
        <f>AND(#REF!,"AAAAAGPXXbs=")</f>
        <v>#REF!</v>
      </c>
      <c r="GG37" t="e">
        <f>AND(#REF!,"AAAAAGPXXbw=")</f>
        <v>#REF!</v>
      </c>
      <c r="GH37" t="e">
        <f>AND(#REF!,"AAAAAGPXXb0=")</f>
        <v>#REF!</v>
      </c>
      <c r="GI37" t="e">
        <f>AND(#REF!,"AAAAAGPXXb4=")</f>
        <v>#REF!</v>
      </c>
      <c r="GJ37" t="e">
        <f>AND(#REF!,"AAAAAGPXXb8=")</f>
        <v>#REF!</v>
      </c>
      <c r="GK37" t="e">
        <f>AND(#REF!,"AAAAAGPXXcA=")</f>
        <v>#REF!</v>
      </c>
      <c r="GL37" t="e">
        <f>AND(#REF!,"AAAAAGPXXcE=")</f>
        <v>#REF!</v>
      </c>
      <c r="GM37" t="e">
        <f>AND(#REF!,"AAAAAGPXXcI=")</f>
        <v>#REF!</v>
      </c>
      <c r="GN37" t="e">
        <f>AND(#REF!,"AAAAAGPXXcM=")</f>
        <v>#REF!</v>
      </c>
      <c r="GO37" t="e">
        <f>AND(#REF!,"AAAAAGPXXcQ=")</f>
        <v>#REF!</v>
      </c>
      <c r="GP37" t="e">
        <f>AND(#REF!,"AAAAAGPXXcU=")</f>
        <v>#REF!</v>
      </c>
      <c r="GQ37" t="e">
        <f>AND(#REF!,"AAAAAGPXXcY=")</f>
        <v>#REF!</v>
      </c>
      <c r="GR37" t="e">
        <f>AND(#REF!,"AAAAAGPXXcc=")</f>
        <v>#REF!</v>
      </c>
      <c r="GS37" t="e">
        <f>AND(#REF!,"AAAAAGPXXcg=")</f>
        <v>#REF!</v>
      </c>
      <c r="GT37" t="e">
        <f>AND(#REF!,"AAAAAGPXXck=")</f>
        <v>#REF!</v>
      </c>
      <c r="GU37" t="e">
        <f>AND(#REF!,"AAAAAGPXXco=")</f>
        <v>#REF!</v>
      </c>
      <c r="GV37" t="e">
        <f>IF(#REF!,"AAAAAGPXXcs=",0)</f>
        <v>#REF!</v>
      </c>
      <c r="GW37" t="e">
        <f>AND(#REF!,"AAAAAGPXXcw=")</f>
        <v>#REF!</v>
      </c>
      <c r="GX37" t="e">
        <f>AND(#REF!,"AAAAAGPXXc0=")</f>
        <v>#REF!</v>
      </c>
      <c r="GY37" t="e">
        <f>AND(#REF!,"AAAAAGPXXc4=")</f>
        <v>#REF!</v>
      </c>
      <c r="GZ37" t="e">
        <f>AND(#REF!,"AAAAAGPXXc8=")</f>
        <v>#REF!</v>
      </c>
      <c r="HA37" t="e">
        <f>AND(#REF!,"AAAAAGPXXdA=")</f>
        <v>#REF!</v>
      </c>
      <c r="HB37" t="e">
        <f>AND(#REF!,"AAAAAGPXXdE=")</f>
        <v>#REF!</v>
      </c>
      <c r="HC37" t="e">
        <f>AND(#REF!,"AAAAAGPXXdI=")</f>
        <v>#REF!</v>
      </c>
      <c r="HD37" t="e">
        <f>AND(#REF!,"AAAAAGPXXdM=")</f>
        <v>#REF!</v>
      </c>
      <c r="HE37" t="e">
        <f>AND(#REF!,"AAAAAGPXXdQ=")</f>
        <v>#REF!</v>
      </c>
      <c r="HF37" t="e">
        <f>AND(#REF!,"AAAAAGPXXdU=")</f>
        <v>#REF!</v>
      </c>
      <c r="HG37" t="e">
        <f>AND(#REF!,"AAAAAGPXXdY=")</f>
        <v>#REF!</v>
      </c>
      <c r="HH37" t="e">
        <f>AND(#REF!,"AAAAAGPXXdc=")</f>
        <v>#REF!</v>
      </c>
      <c r="HI37" t="e">
        <f>AND(#REF!,"AAAAAGPXXdg=")</f>
        <v>#REF!</v>
      </c>
      <c r="HJ37" t="e">
        <f>AND(#REF!,"AAAAAGPXXdk=")</f>
        <v>#REF!</v>
      </c>
      <c r="HK37" t="e">
        <f>AND(#REF!,"AAAAAGPXXdo=")</f>
        <v>#REF!</v>
      </c>
      <c r="HL37" t="e">
        <f>AND(#REF!,"AAAAAGPXXds=")</f>
        <v>#REF!</v>
      </c>
      <c r="HM37" t="e">
        <f>AND(#REF!,"AAAAAGPXXdw=")</f>
        <v>#REF!</v>
      </c>
      <c r="HN37" t="e">
        <f>AND(#REF!,"AAAAAGPXXd0=")</f>
        <v>#REF!</v>
      </c>
      <c r="HO37" t="e">
        <f>AND(#REF!,"AAAAAGPXXd4=")</f>
        <v>#REF!</v>
      </c>
      <c r="HP37" t="e">
        <f>AND(#REF!,"AAAAAGPXXd8=")</f>
        <v>#REF!</v>
      </c>
      <c r="HQ37" t="e">
        <f>AND(#REF!,"AAAAAGPXXeA=")</f>
        <v>#REF!</v>
      </c>
      <c r="HR37" t="e">
        <f>AND(#REF!,"AAAAAGPXXeE=")</f>
        <v>#REF!</v>
      </c>
      <c r="HS37" t="e">
        <f>AND(#REF!,"AAAAAGPXXeI=")</f>
        <v>#REF!</v>
      </c>
      <c r="HT37" t="e">
        <f>AND(#REF!,"AAAAAGPXXeM=")</f>
        <v>#REF!</v>
      </c>
      <c r="HU37" t="e">
        <f>AND(#REF!,"AAAAAGPXXeQ=")</f>
        <v>#REF!</v>
      </c>
      <c r="HV37" t="e">
        <f>AND(#REF!,"AAAAAGPXXeU=")</f>
        <v>#REF!</v>
      </c>
      <c r="HW37" t="e">
        <f>AND(#REF!,"AAAAAGPXXeY=")</f>
        <v>#REF!</v>
      </c>
      <c r="HX37" t="e">
        <f>AND(#REF!,"AAAAAGPXXec=")</f>
        <v>#REF!</v>
      </c>
      <c r="HY37" t="e">
        <f>AND(#REF!,"AAAAAGPXXeg=")</f>
        <v>#REF!</v>
      </c>
      <c r="HZ37" t="e">
        <f>AND(#REF!,"AAAAAGPXXek=")</f>
        <v>#REF!</v>
      </c>
      <c r="IA37" t="e">
        <f>AND(#REF!,"AAAAAGPXXeo=")</f>
        <v>#REF!</v>
      </c>
      <c r="IB37" t="e">
        <f>AND(#REF!,"AAAAAGPXXes=")</f>
        <v>#REF!</v>
      </c>
      <c r="IC37" t="e">
        <f>AND(#REF!,"AAAAAGPXXew=")</f>
        <v>#REF!</v>
      </c>
      <c r="ID37" t="e">
        <f>AND(#REF!,"AAAAAGPXXe0=")</f>
        <v>#REF!</v>
      </c>
      <c r="IE37" t="e">
        <f>AND(#REF!,"AAAAAGPXXe4=")</f>
        <v>#REF!</v>
      </c>
      <c r="IF37" t="e">
        <f>AND(#REF!,"AAAAAGPXXe8=")</f>
        <v>#REF!</v>
      </c>
      <c r="IG37" t="e">
        <f>AND(#REF!,"AAAAAGPXXfA=")</f>
        <v>#REF!</v>
      </c>
      <c r="IH37" t="e">
        <f>AND(#REF!,"AAAAAGPXXfE=")</f>
        <v>#REF!</v>
      </c>
      <c r="II37" t="e">
        <f>AND(#REF!,"AAAAAGPXXfI=")</f>
        <v>#REF!</v>
      </c>
      <c r="IJ37" t="e">
        <f>IF(#REF!,"AAAAAGPXXfM=",0)</f>
        <v>#REF!</v>
      </c>
      <c r="IK37" t="e">
        <f>AND(#REF!,"AAAAAGPXXfQ=")</f>
        <v>#REF!</v>
      </c>
      <c r="IL37" t="e">
        <f>AND(#REF!,"AAAAAGPXXfU=")</f>
        <v>#REF!</v>
      </c>
      <c r="IM37" t="e">
        <f>AND(#REF!,"AAAAAGPXXfY=")</f>
        <v>#REF!</v>
      </c>
      <c r="IN37" t="e">
        <f>AND(#REF!,"AAAAAGPXXfc=")</f>
        <v>#REF!</v>
      </c>
      <c r="IO37" t="e">
        <f>AND(#REF!,"AAAAAGPXXfg=")</f>
        <v>#REF!</v>
      </c>
      <c r="IP37" t="e">
        <f>AND(#REF!,"AAAAAGPXXfk=")</f>
        <v>#REF!</v>
      </c>
      <c r="IQ37" t="e">
        <f>AND(#REF!,"AAAAAGPXXfo=")</f>
        <v>#REF!</v>
      </c>
      <c r="IR37" t="e">
        <f>AND(#REF!,"AAAAAGPXXfs=")</f>
        <v>#REF!</v>
      </c>
      <c r="IS37" t="e">
        <f>AND(#REF!,"AAAAAGPXXfw=")</f>
        <v>#REF!</v>
      </c>
      <c r="IT37" t="e">
        <f>AND(#REF!,"AAAAAGPXXf0=")</f>
        <v>#REF!</v>
      </c>
      <c r="IU37" t="e">
        <f>AND(#REF!,"AAAAAGPXXf4=")</f>
        <v>#REF!</v>
      </c>
      <c r="IV37" t="e">
        <f>AND(#REF!,"AAAAAGPXXf8=")</f>
        <v>#REF!</v>
      </c>
    </row>
    <row r="38" spans="1:256" x14ac:dyDescent="0.35">
      <c r="A38" t="e">
        <f>AND(#REF!,"AAAAAH1f/wA=")</f>
        <v>#REF!</v>
      </c>
      <c r="B38" t="e">
        <f>AND(#REF!,"AAAAAH1f/wE=")</f>
        <v>#REF!</v>
      </c>
      <c r="C38" t="e">
        <f>AND(#REF!,"AAAAAH1f/wI=")</f>
        <v>#REF!</v>
      </c>
      <c r="D38" t="e">
        <f>AND(#REF!,"AAAAAH1f/wM=")</f>
        <v>#REF!</v>
      </c>
      <c r="E38" t="e">
        <f>AND(#REF!,"AAAAAH1f/wQ=")</f>
        <v>#REF!</v>
      </c>
      <c r="F38" t="e">
        <f>AND(#REF!,"AAAAAH1f/wU=")</f>
        <v>#REF!</v>
      </c>
      <c r="G38" t="e">
        <f>AND(#REF!,"AAAAAH1f/wY=")</f>
        <v>#REF!</v>
      </c>
      <c r="H38" t="e">
        <f>AND(#REF!,"AAAAAH1f/wc=")</f>
        <v>#REF!</v>
      </c>
      <c r="I38" t="e">
        <f>AND(#REF!,"AAAAAH1f/wg=")</f>
        <v>#REF!</v>
      </c>
      <c r="J38" t="e">
        <f>AND(#REF!,"AAAAAH1f/wk=")</f>
        <v>#REF!</v>
      </c>
      <c r="K38" t="e">
        <f>AND(#REF!,"AAAAAH1f/wo=")</f>
        <v>#REF!</v>
      </c>
      <c r="L38" t="e">
        <f>AND(#REF!,"AAAAAH1f/ws=")</f>
        <v>#REF!</v>
      </c>
      <c r="M38" t="e">
        <f>AND(#REF!,"AAAAAH1f/ww=")</f>
        <v>#REF!</v>
      </c>
      <c r="N38" t="e">
        <f>AND(#REF!,"AAAAAH1f/w0=")</f>
        <v>#REF!</v>
      </c>
      <c r="O38" t="e">
        <f>AND(#REF!,"AAAAAH1f/w4=")</f>
        <v>#REF!</v>
      </c>
      <c r="P38" t="e">
        <f>AND(#REF!,"AAAAAH1f/w8=")</f>
        <v>#REF!</v>
      </c>
      <c r="Q38" t="e">
        <f>AND(#REF!,"AAAAAH1f/xA=")</f>
        <v>#REF!</v>
      </c>
      <c r="R38" t="e">
        <f>AND(#REF!,"AAAAAH1f/xE=")</f>
        <v>#REF!</v>
      </c>
      <c r="S38" t="e">
        <f>AND(#REF!,"AAAAAH1f/xI=")</f>
        <v>#REF!</v>
      </c>
      <c r="T38" t="e">
        <f>AND(#REF!,"AAAAAH1f/xM=")</f>
        <v>#REF!</v>
      </c>
      <c r="U38" t="e">
        <f>AND(#REF!,"AAAAAH1f/xQ=")</f>
        <v>#REF!</v>
      </c>
      <c r="V38" t="e">
        <f>AND(#REF!,"AAAAAH1f/xU=")</f>
        <v>#REF!</v>
      </c>
      <c r="W38" t="e">
        <f>AND(#REF!,"AAAAAH1f/xY=")</f>
        <v>#REF!</v>
      </c>
      <c r="X38" t="e">
        <f>AND(#REF!,"AAAAAH1f/xc=")</f>
        <v>#REF!</v>
      </c>
      <c r="Y38" t="e">
        <f>AND(#REF!,"AAAAAH1f/xg=")</f>
        <v>#REF!</v>
      </c>
      <c r="Z38" t="e">
        <f>AND(#REF!,"AAAAAH1f/xk=")</f>
        <v>#REF!</v>
      </c>
      <c r="AA38" t="e">
        <f>AND(#REF!,"AAAAAH1f/xo=")</f>
        <v>#REF!</v>
      </c>
      <c r="AB38" t="e">
        <f>IF(#REF!,"AAAAAH1f/xs=",0)</f>
        <v>#REF!</v>
      </c>
      <c r="AC38" t="e">
        <f>AND(#REF!,"AAAAAH1f/xw=")</f>
        <v>#REF!</v>
      </c>
      <c r="AD38" t="e">
        <f>AND(#REF!,"AAAAAH1f/x0=")</f>
        <v>#REF!</v>
      </c>
      <c r="AE38" t="e">
        <f>AND(#REF!,"AAAAAH1f/x4=")</f>
        <v>#REF!</v>
      </c>
      <c r="AF38" t="e">
        <f>AND(#REF!,"AAAAAH1f/x8=")</f>
        <v>#REF!</v>
      </c>
      <c r="AG38" t="e">
        <f>AND(#REF!,"AAAAAH1f/yA=")</f>
        <v>#REF!</v>
      </c>
      <c r="AH38" t="e">
        <f>AND(#REF!,"AAAAAH1f/yE=")</f>
        <v>#REF!</v>
      </c>
      <c r="AI38" t="e">
        <f>AND(#REF!,"AAAAAH1f/yI=")</f>
        <v>#REF!</v>
      </c>
      <c r="AJ38" t="e">
        <f>AND(#REF!,"AAAAAH1f/yM=")</f>
        <v>#REF!</v>
      </c>
      <c r="AK38" t="e">
        <f>AND(#REF!,"AAAAAH1f/yQ=")</f>
        <v>#REF!</v>
      </c>
      <c r="AL38" t="e">
        <f>AND(#REF!,"AAAAAH1f/yU=")</f>
        <v>#REF!</v>
      </c>
      <c r="AM38" t="e">
        <f>AND(#REF!,"AAAAAH1f/yY=")</f>
        <v>#REF!</v>
      </c>
      <c r="AN38" t="e">
        <f>AND(#REF!,"AAAAAH1f/yc=")</f>
        <v>#REF!</v>
      </c>
      <c r="AO38" t="e">
        <f>AND(#REF!,"AAAAAH1f/yg=")</f>
        <v>#REF!</v>
      </c>
      <c r="AP38" t="e">
        <f>AND(#REF!,"AAAAAH1f/yk=")</f>
        <v>#REF!</v>
      </c>
      <c r="AQ38" t="e">
        <f>AND(#REF!,"AAAAAH1f/yo=")</f>
        <v>#REF!</v>
      </c>
      <c r="AR38" t="e">
        <f>AND(#REF!,"AAAAAH1f/ys=")</f>
        <v>#REF!</v>
      </c>
      <c r="AS38" t="e">
        <f>AND(#REF!,"AAAAAH1f/yw=")</f>
        <v>#REF!</v>
      </c>
      <c r="AT38" t="e">
        <f>AND(#REF!,"AAAAAH1f/y0=")</f>
        <v>#REF!</v>
      </c>
      <c r="AU38" t="e">
        <f>AND(#REF!,"AAAAAH1f/y4=")</f>
        <v>#REF!</v>
      </c>
      <c r="AV38" t="e">
        <f>AND(#REF!,"AAAAAH1f/y8=")</f>
        <v>#REF!</v>
      </c>
      <c r="AW38" t="e">
        <f>AND(#REF!,"AAAAAH1f/zA=")</f>
        <v>#REF!</v>
      </c>
      <c r="AX38" t="e">
        <f>AND(#REF!,"AAAAAH1f/zE=")</f>
        <v>#REF!</v>
      </c>
      <c r="AY38" t="e">
        <f>AND(#REF!,"AAAAAH1f/zI=")</f>
        <v>#REF!</v>
      </c>
      <c r="AZ38" t="e">
        <f>AND(#REF!,"AAAAAH1f/zM=")</f>
        <v>#REF!</v>
      </c>
      <c r="BA38" t="e">
        <f>AND(#REF!,"AAAAAH1f/zQ=")</f>
        <v>#REF!</v>
      </c>
      <c r="BB38" t="e">
        <f>AND(#REF!,"AAAAAH1f/zU=")</f>
        <v>#REF!</v>
      </c>
      <c r="BC38" t="e">
        <f>AND(#REF!,"AAAAAH1f/zY=")</f>
        <v>#REF!</v>
      </c>
      <c r="BD38" t="e">
        <f>AND(#REF!,"AAAAAH1f/zc=")</f>
        <v>#REF!</v>
      </c>
      <c r="BE38" t="e">
        <f>AND(#REF!,"AAAAAH1f/zg=")</f>
        <v>#REF!</v>
      </c>
      <c r="BF38" t="e">
        <f>AND(#REF!,"AAAAAH1f/zk=")</f>
        <v>#REF!</v>
      </c>
      <c r="BG38" t="e">
        <f>AND(#REF!,"AAAAAH1f/zo=")</f>
        <v>#REF!</v>
      </c>
      <c r="BH38" t="e">
        <f>AND(#REF!,"AAAAAH1f/zs=")</f>
        <v>#REF!</v>
      </c>
      <c r="BI38" t="e">
        <f>AND(#REF!,"AAAAAH1f/zw=")</f>
        <v>#REF!</v>
      </c>
      <c r="BJ38" t="e">
        <f>AND(#REF!,"AAAAAH1f/z0=")</f>
        <v>#REF!</v>
      </c>
      <c r="BK38" t="e">
        <f>AND(#REF!,"AAAAAH1f/z4=")</f>
        <v>#REF!</v>
      </c>
      <c r="BL38" t="e">
        <f>AND(#REF!,"AAAAAH1f/z8=")</f>
        <v>#REF!</v>
      </c>
      <c r="BM38" t="e">
        <f>AND(#REF!,"AAAAAH1f/0A=")</f>
        <v>#REF!</v>
      </c>
      <c r="BN38" t="e">
        <f>AND(#REF!,"AAAAAH1f/0E=")</f>
        <v>#REF!</v>
      </c>
      <c r="BO38" t="e">
        <f>AND(#REF!,"AAAAAH1f/0I=")</f>
        <v>#REF!</v>
      </c>
      <c r="BP38" t="e">
        <f>IF(#REF!,"AAAAAH1f/0M=",0)</f>
        <v>#REF!</v>
      </c>
      <c r="BQ38" t="e">
        <f>AND(#REF!,"AAAAAH1f/0Q=")</f>
        <v>#REF!</v>
      </c>
      <c r="BR38" t="e">
        <f>AND(#REF!,"AAAAAH1f/0U=")</f>
        <v>#REF!</v>
      </c>
      <c r="BS38" t="e">
        <f>AND(#REF!,"AAAAAH1f/0Y=")</f>
        <v>#REF!</v>
      </c>
      <c r="BT38" t="e">
        <f>AND(#REF!,"AAAAAH1f/0c=")</f>
        <v>#REF!</v>
      </c>
      <c r="BU38" t="e">
        <f>AND(#REF!,"AAAAAH1f/0g=")</f>
        <v>#REF!</v>
      </c>
      <c r="BV38" t="e">
        <f>AND(#REF!,"AAAAAH1f/0k=")</f>
        <v>#REF!</v>
      </c>
      <c r="BW38" t="e">
        <f>AND(#REF!,"AAAAAH1f/0o=")</f>
        <v>#REF!</v>
      </c>
      <c r="BX38" t="e">
        <f>AND(#REF!,"AAAAAH1f/0s=")</f>
        <v>#REF!</v>
      </c>
      <c r="BY38" t="e">
        <f>AND(#REF!,"AAAAAH1f/0w=")</f>
        <v>#REF!</v>
      </c>
      <c r="BZ38" t="e">
        <f>AND(#REF!,"AAAAAH1f/00=")</f>
        <v>#REF!</v>
      </c>
      <c r="CA38" t="e">
        <f>AND(#REF!,"AAAAAH1f/04=")</f>
        <v>#REF!</v>
      </c>
      <c r="CB38" t="e">
        <f>AND(#REF!,"AAAAAH1f/08=")</f>
        <v>#REF!</v>
      </c>
      <c r="CC38" t="e">
        <f>AND(#REF!,"AAAAAH1f/1A=")</f>
        <v>#REF!</v>
      </c>
      <c r="CD38" t="e">
        <f>AND(#REF!,"AAAAAH1f/1E=")</f>
        <v>#REF!</v>
      </c>
      <c r="CE38" t="e">
        <f>AND(#REF!,"AAAAAH1f/1I=")</f>
        <v>#REF!</v>
      </c>
      <c r="CF38" t="e">
        <f>AND(#REF!,"AAAAAH1f/1M=")</f>
        <v>#REF!</v>
      </c>
      <c r="CG38" t="e">
        <f>AND(#REF!,"AAAAAH1f/1Q=")</f>
        <v>#REF!</v>
      </c>
      <c r="CH38" t="e">
        <f>AND(#REF!,"AAAAAH1f/1U=")</f>
        <v>#REF!</v>
      </c>
      <c r="CI38" t="e">
        <f>AND(#REF!,"AAAAAH1f/1Y=")</f>
        <v>#REF!</v>
      </c>
      <c r="CJ38" t="e">
        <f>AND(#REF!,"AAAAAH1f/1c=")</f>
        <v>#REF!</v>
      </c>
      <c r="CK38" t="e">
        <f>AND(#REF!,"AAAAAH1f/1g=")</f>
        <v>#REF!</v>
      </c>
      <c r="CL38" t="e">
        <f>AND(#REF!,"AAAAAH1f/1k=")</f>
        <v>#REF!</v>
      </c>
      <c r="CM38" t="e">
        <f>AND(#REF!,"AAAAAH1f/1o=")</f>
        <v>#REF!</v>
      </c>
      <c r="CN38" t="e">
        <f>AND(#REF!,"AAAAAH1f/1s=")</f>
        <v>#REF!</v>
      </c>
      <c r="CO38" t="e">
        <f>AND(#REF!,"AAAAAH1f/1w=")</f>
        <v>#REF!</v>
      </c>
      <c r="CP38" t="e">
        <f>AND(#REF!,"AAAAAH1f/10=")</f>
        <v>#REF!</v>
      </c>
      <c r="CQ38" t="e">
        <f>AND(#REF!,"AAAAAH1f/14=")</f>
        <v>#REF!</v>
      </c>
      <c r="CR38" t="e">
        <f>AND(#REF!,"AAAAAH1f/18=")</f>
        <v>#REF!</v>
      </c>
      <c r="CS38" t="e">
        <f>AND(#REF!,"AAAAAH1f/2A=")</f>
        <v>#REF!</v>
      </c>
      <c r="CT38" t="e">
        <f>AND(#REF!,"AAAAAH1f/2E=")</f>
        <v>#REF!</v>
      </c>
      <c r="CU38" t="e">
        <f>AND(#REF!,"AAAAAH1f/2I=")</f>
        <v>#REF!</v>
      </c>
      <c r="CV38" t="e">
        <f>AND(#REF!,"AAAAAH1f/2M=")</f>
        <v>#REF!</v>
      </c>
      <c r="CW38" t="e">
        <f>AND(#REF!,"AAAAAH1f/2Q=")</f>
        <v>#REF!</v>
      </c>
      <c r="CX38" t="e">
        <f>AND(#REF!,"AAAAAH1f/2U=")</f>
        <v>#REF!</v>
      </c>
      <c r="CY38" t="e">
        <f>AND(#REF!,"AAAAAH1f/2Y=")</f>
        <v>#REF!</v>
      </c>
      <c r="CZ38" t="e">
        <f>AND(#REF!,"AAAAAH1f/2c=")</f>
        <v>#REF!</v>
      </c>
      <c r="DA38" t="e">
        <f>AND(#REF!,"AAAAAH1f/2g=")</f>
        <v>#REF!</v>
      </c>
      <c r="DB38" t="e">
        <f>AND(#REF!,"AAAAAH1f/2k=")</f>
        <v>#REF!</v>
      </c>
      <c r="DC38" t="e">
        <f>AND(#REF!,"AAAAAH1f/2o=")</f>
        <v>#REF!</v>
      </c>
      <c r="DD38" t="e">
        <f>IF(#REF!,"AAAAAH1f/2s=",0)</f>
        <v>#REF!</v>
      </c>
      <c r="DE38" t="e">
        <f>AND(#REF!,"AAAAAH1f/2w=")</f>
        <v>#REF!</v>
      </c>
      <c r="DF38" t="e">
        <f>AND(#REF!,"AAAAAH1f/20=")</f>
        <v>#REF!</v>
      </c>
      <c r="DG38" t="e">
        <f>AND(#REF!,"AAAAAH1f/24=")</f>
        <v>#REF!</v>
      </c>
      <c r="DH38" t="e">
        <f>AND(#REF!,"AAAAAH1f/28=")</f>
        <v>#REF!</v>
      </c>
      <c r="DI38" t="e">
        <f>AND(#REF!,"AAAAAH1f/3A=")</f>
        <v>#REF!</v>
      </c>
      <c r="DJ38" t="e">
        <f>AND(#REF!,"AAAAAH1f/3E=")</f>
        <v>#REF!</v>
      </c>
      <c r="DK38" t="e">
        <f>AND(#REF!,"AAAAAH1f/3I=")</f>
        <v>#REF!</v>
      </c>
      <c r="DL38" t="e">
        <f>AND(#REF!,"AAAAAH1f/3M=")</f>
        <v>#REF!</v>
      </c>
      <c r="DM38" t="e">
        <f>AND(#REF!,"AAAAAH1f/3Q=")</f>
        <v>#REF!</v>
      </c>
      <c r="DN38" t="e">
        <f>AND(#REF!,"AAAAAH1f/3U=")</f>
        <v>#REF!</v>
      </c>
      <c r="DO38" t="e">
        <f>AND(#REF!,"AAAAAH1f/3Y=")</f>
        <v>#REF!</v>
      </c>
      <c r="DP38" t="e">
        <f>AND(#REF!,"AAAAAH1f/3c=")</f>
        <v>#REF!</v>
      </c>
      <c r="DQ38" t="e">
        <f>AND(#REF!,"AAAAAH1f/3g=")</f>
        <v>#REF!</v>
      </c>
      <c r="DR38" t="e">
        <f>AND(#REF!,"AAAAAH1f/3k=")</f>
        <v>#REF!</v>
      </c>
      <c r="DS38" t="e">
        <f>AND(#REF!,"AAAAAH1f/3o=")</f>
        <v>#REF!</v>
      </c>
      <c r="DT38" t="e">
        <f>AND(#REF!,"AAAAAH1f/3s=")</f>
        <v>#REF!</v>
      </c>
      <c r="DU38" t="e">
        <f>AND(#REF!,"AAAAAH1f/3w=")</f>
        <v>#REF!</v>
      </c>
      <c r="DV38" t="e">
        <f>AND(#REF!,"AAAAAH1f/30=")</f>
        <v>#REF!</v>
      </c>
      <c r="DW38" t="e">
        <f>AND(#REF!,"AAAAAH1f/34=")</f>
        <v>#REF!</v>
      </c>
      <c r="DX38" t="e">
        <f>AND(#REF!,"AAAAAH1f/38=")</f>
        <v>#REF!</v>
      </c>
      <c r="DY38" t="e">
        <f>AND(#REF!,"AAAAAH1f/4A=")</f>
        <v>#REF!</v>
      </c>
      <c r="DZ38" t="e">
        <f>AND(#REF!,"AAAAAH1f/4E=")</f>
        <v>#REF!</v>
      </c>
      <c r="EA38" t="e">
        <f>AND(#REF!,"AAAAAH1f/4I=")</f>
        <v>#REF!</v>
      </c>
      <c r="EB38" t="e">
        <f>AND(#REF!,"AAAAAH1f/4M=")</f>
        <v>#REF!</v>
      </c>
      <c r="EC38" t="e">
        <f>AND(#REF!,"AAAAAH1f/4Q=")</f>
        <v>#REF!</v>
      </c>
      <c r="ED38" t="e">
        <f>AND(#REF!,"AAAAAH1f/4U=")</f>
        <v>#REF!</v>
      </c>
      <c r="EE38" t="e">
        <f>AND(#REF!,"AAAAAH1f/4Y=")</f>
        <v>#REF!</v>
      </c>
      <c r="EF38" t="e">
        <f>AND(#REF!,"AAAAAH1f/4c=")</f>
        <v>#REF!</v>
      </c>
      <c r="EG38" t="e">
        <f>AND(#REF!,"AAAAAH1f/4g=")</f>
        <v>#REF!</v>
      </c>
      <c r="EH38" t="e">
        <f>AND(#REF!,"AAAAAH1f/4k=")</f>
        <v>#REF!</v>
      </c>
      <c r="EI38" t="e">
        <f>AND(#REF!,"AAAAAH1f/4o=")</f>
        <v>#REF!</v>
      </c>
      <c r="EJ38" t="e">
        <f>AND(#REF!,"AAAAAH1f/4s=")</f>
        <v>#REF!</v>
      </c>
      <c r="EK38" t="e">
        <f>AND(#REF!,"AAAAAH1f/4w=")</f>
        <v>#REF!</v>
      </c>
      <c r="EL38" t="e">
        <f>AND(#REF!,"AAAAAH1f/40=")</f>
        <v>#REF!</v>
      </c>
      <c r="EM38" t="e">
        <f>AND(#REF!,"AAAAAH1f/44=")</f>
        <v>#REF!</v>
      </c>
      <c r="EN38" t="e">
        <f>AND(#REF!,"AAAAAH1f/48=")</f>
        <v>#REF!</v>
      </c>
      <c r="EO38" t="e">
        <f>AND(#REF!,"AAAAAH1f/5A=")</f>
        <v>#REF!</v>
      </c>
      <c r="EP38" t="e">
        <f>AND(#REF!,"AAAAAH1f/5E=")</f>
        <v>#REF!</v>
      </c>
      <c r="EQ38" t="e">
        <f>AND(#REF!,"AAAAAH1f/5I=")</f>
        <v>#REF!</v>
      </c>
      <c r="ER38" t="e">
        <f>IF(#REF!,"AAAAAH1f/5M=",0)</f>
        <v>#REF!</v>
      </c>
      <c r="ES38" t="e">
        <f>AND(#REF!,"AAAAAH1f/5Q=")</f>
        <v>#REF!</v>
      </c>
      <c r="ET38" t="e">
        <f>AND(#REF!,"AAAAAH1f/5U=")</f>
        <v>#REF!</v>
      </c>
      <c r="EU38" t="e">
        <f>AND(#REF!,"AAAAAH1f/5Y=")</f>
        <v>#REF!</v>
      </c>
      <c r="EV38" t="e">
        <f>AND(#REF!,"AAAAAH1f/5c=")</f>
        <v>#REF!</v>
      </c>
      <c r="EW38" t="e">
        <f>AND(#REF!,"AAAAAH1f/5g=")</f>
        <v>#REF!</v>
      </c>
      <c r="EX38" t="e">
        <f>AND(#REF!,"AAAAAH1f/5k=")</f>
        <v>#REF!</v>
      </c>
      <c r="EY38" t="e">
        <f>AND(#REF!,"AAAAAH1f/5o=")</f>
        <v>#REF!</v>
      </c>
      <c r="EZ38" t="e">
        <f>AND(#REF!,"AAAAAH1f/5s=")</f>
        <v>#REF!</v>
      </c>
      <c r="FA38" t="e">
        <f>AND(#REF!,"AAAAAH1f/5w=")</f>
        <v>#REF!</v>
      </c>
      <c r="FB38" t="e">
        <f>AND(#REF!,"AAAAAH1f/50=")</f>
        <v>#REF!</v>
      </c>
      <c r="FC38" t="e">
        <f>AND(#REF!,"AAAAAH1f/54=")</f>
        <v>#REF!</v>
      </c>
      <c r="FD38" t="e">
        <f>AND(#REF!,"AAAAAH1f/58=")</f>
        <v>#REF!</v>
      </c>
      <c r="FE38" t="e">
        <f>AND(#REF!,"AAAAAH1f/6A=")</f>
        <v>#REF!</v>
      </c>
      <c r="FF38" t="e">
        <f>AND(#REF!,"AAAAAH1f/6E=")</f>
        <v>#REF!</v>
      </c>
      <c r="FG38" t="e">
        <f>AND(#REF!,"AAAAAH1f/6I=")</f>
        <v>#REF!</v>
      </c>
      <c r="FH38" t="e">
        <f>AND(#REF!,"AAAAAH1f/6M=")</f>
        <v>#REF!</v>
      </c>
      <c r="FI38" t="e">
        <f>AND(#REF!,"AAAAAH1f/6Q=")</f>
        <v>#REF!</v>
      </c>
      <c r="FJ38" t="e">
        <f>AND(#REF!,"AAAAAH1f/6U=")</f>
        <v>#REF!</v>
      </c>
      <c r="FK38" t="e">
        <f>AND(#REF!,"AAAAAH1f/6Y=")</f>
        <v>#REF!</v>
      </c>
      <c r="FL38" t="e">
        <f>AND(#REF!,"AAAAAH1f/6c=")</f>
        <v>#REF!</v>
      </c>
      <c r="FM38" t="e">
        <f>AND(#REF!,"AAAAAH1f/6g=")</f>
        <v>#REF!</v>
      </c>
      <c r="FN38" t="e">
        <f>AND(#REF!,"AAAAAH1f/6k=")</f>
        <v>#REF!</v>
      </c>
      <c r="FO38" t="e">
        <f>AND(#REF!,"AAAAAH1f/6o=")</f>
        <v>#REF!</v>
      </c>
      <c r="FP38" t="e">
        <f>AND(#REF!,"AAAAAH1f/6s=")</f>
        <v>#REF!</v>
      </c>
      <c r="FQ38" t="e">
        <f>AND(#REF!,"AAAAAH1f/6w=")</f>
        <v>#REF!</v>
      </c>
      <c r="FR38" t="e">
        <f>AND(#REF!,"AAAAAH1f/60=")</f>
        <v>#REF!</v>
      </c>
      <c r="FS38" t="e">
        <f>AND(#REF!,"AAAAAH1f/64=")</f>
        <v>#REF!</v>
      </c>
      <c r="FT38" t="e">
        <f>AND(#REF!,"AAAAAH1f/68=")</f>
        <v>#REF!</v>
      </c>
      <c r="FU38" t="e">
        <f>AND(#REF!,"AAAAAH1f/7A=")</f>
        <v>#REF!</v>
      </c>
      <c r="FV38" t="e">
        <f>AND(#REF!,"AAAAAH1f/7E=")</f>
        <v>#REF!</v>
      </c>
      <c r="FW38" t="e">
        <f>AND(#REF!,"AAAAAH1f/7I=")</f>
        <v>#REF!</v>
      </c>
      <c r="FX38" t="e">
        <f>AND(#REF!,"AAAAAH1f/7M=")</f>
        <v>#REF!</v>
      </c>
      <c r="FY38" t="e">
        <f>AND(#REF!,"AAAAAH1f/7Q=")</f>
        <v>#REF!</v>
      </c>
      <c r="FZ38" t="e">
        <f>AND(#REF!,"AAAAAH1f/7U=")</f>
        <v>#REF!</v>
      </c>
      <c r="GA38" t="e">
        <f>AND(#REF!,"AAAAAH1f/7Y=")</f>
        <v>#REF!</v>
      </c>
      <c r="GB38" t="e">
        <f>AND(#REF!,"AAAAAH1f/7c=")</f>
        <v>#REF!</v>
      </c>
      <c r="GC38" t="e">
        <f>AND(#REF!,"AAAAAH1f/7g=")</f>
        <v>#REF!</v>
      </c>
      <c r="GD38" t="e">
        <f>AND(#REF!,"AAAAAH1f/7k=")</f>
        <v>#REF!</v>
      </c>
      <c r="GE38" t="e">
        <f>AND(#REF!,"AAAAAH1f/7o=")</f>
        <v>#REF!</v>
      </c>
      <c r="GF38" t="e">
        <f>IF(#REF!,"AAAAAH1f/7s=",0)</f>
        <v>#REF!</v>
      </c>
      <c r="GG38" t="e">
        <f>AND(#REF!,"AAAAAH1f/7w=")</f>
        <v>#REF!</v>
      </c>
      <c r="GH38" t="e">
        <f>AND(#REF!,"AAAAAH1f/70=")</f>
        <v>#REF!</v>
      </c>
      <c r="GI38" t="e">
        <f>AND(#REF!,"AAAAAH1f/74=")</f>
        <v>#REF!</v>
      </c>
      <c r="GJ38" t="e">
        <f>AND(#REF!,"AAAAAH1f/78=")</f>
        <v>#REF!</v>
      </c>
      <c r="GK38" t="e">
        <f>AND(#REF!,"AAAAAH1f/8A=")</f>
        <v>#REF!</v>
      </c>
      <c r="GL38" t="e">
        <f>AND(#REF!,"AAAAAH1f/8E=")</f>
        <v>#REF!</v>
      </c>
      <c r="GM38" t="e">
        <f>AND(#REF!,"AAAAAH1f/8I=")</f>
        <v>#REF!</v>
      </c>
      <c r="GN38" t="e">
        <f>AND(#REF!,"AAAAAH1f/8M=")</f>
        <v>#REF!</v>
      </c>
      <c r="GO38" t="e">
        <f>AND(#REF!,"AAAAAH1f/8Q=")</f>
        <v>#REF!</v>
      </c>
      <c r="GP38" t="e">
        <f>AND(#REF!,"AAAAAH1f/8U=")</f>
        <v>#REF!</v>
      </c>
      <c r="GQ38" t="e">
        <f>AND(#REF!,"AAAAAH1f/8Y=")</f>
        <v>#REF!</v>
      </c>
      <c r="GR38" t="e">
        <f>AND(#REF!,"AAAAAH1f/8c=")</f>
        <v>#REF!</v>
      </c>
      <c r="GS38" t="e">
        <f>AND(#REF!,"AAAAAH1f/8g=")</f>
        <v>#REF!</v>
      </c>
      <c r="GT38" t="e">
        <f>AND(#REF!,"AAAAAH1f/8k=")</f>
        <v>#REF!</v>
      </c>
      <c r="GU38" t="e">
        <f>AND(#REF!,"AAAAAH1f/8o=")</f>
        <v>#REF!</v>
      </c>
      <c r="GV38" t="e">
        <f>AND(#REF!,"AAAAAH1f/8s=")</f>
        <v>#REF!</v>
      </c>
      <c r="GW38" t="e">
        <f>AND(#REF!,"AAAAAH1f/8w=")</f>
        <v>#REF!</v>
      </c>
      <c r="GX38" t="e">
        <f>AND(#REF!,"AAAAAH1f/80=")</f>
        <v>#REF!</v>
      </c>
      <c r="GY38" t="e">
        <f>AND(#REF!,"AAAAAH1f/84=")</f>
        <v>#REF!</v>
      </c>
      <c r="GZ38" t="e">
        <f>AND(#REF!,"AAAAAH1f/88=")</f>
        <v>#REF!</v>
      </c>
      <c r="HA38" t="e">
        <f>AND(#REF!,"AAAAAH1f/9A=")</f>
        <v>#REF!</v>
      </c>
      <c r="HB38" t="e">
        <f>AND(#REF!,"AAAAAH1f/9E=")</f>
        <v>#REF!</v>
      </c>
      <c r="HC38" t="e">
        <f>AND(#REF!,"AAAAAH1f/9I=")</f>
        <v>#REF!</v>
      </c>
      <c r="HD38" t="e">
        <f>AND(#REF!,"AAAAAH1f/9M=")</f>
        <v>#REF!</v>
      </c>
      <c r="HE38" t="e">
        <f>AND(#REF!,"AAAAAH1f/9Q=")</f>
        <v>#REF!</v>
      </c>
      <c r="HF38" t="e">
        <f>AND(#REF!,"AAAAAH1f/9U=")</f>
        <v>#REF!</v>
      </c>
      <c r="HG38" t="e">
        <f>AND(#REF!,"AAAAAH1f/9Y=")</f>
        <v>#REF!</v>
      </c>
      <c r="HH38" t="e">
        <f>AND(#REF!,"AAAAAH1f/9c=")</f>
        <v>#REF!</v>
      </c>
      <c r="HI38" t="e">
        <f>AND(#REF!,"AAAAAH1f/9g=")</f>
        <v>#REF!</v>
      </c>
      <c r="HJ38" t="e">
        <f>AND(#REF!,"AAAAAH1f/9k=")</f>
        <v>#REF!</v>
      </c>
      <c r="HK38" t="e">
        <f>AND(#REF!,"AAAAAH1f/9o=")</f>
        <v>#REF!</v>
      </c>
      <c r="HL38" t="e">
        <f>AND(#REF!,"AAAAAH1f/9s=")</f>
        <v>#REF!</v>
      </c>
      <c r="HM38" t="e">
        <f>AND(#REF!,"AAAAAH1f/9w=")</f>
        <v>#REF!</v>
      </c>
      <c r="HN38" t="e">
        <f>AND(#REF!,"AAAAAH1f/90=")</f>
        <v>#REF!</v>
      </c>
      <c r="HO38" t="e">
        <f>AND(#REF!,"AAAAAH1f/94=")</f>
        <v>#REF!</v>
      </c>
      <c r="HP38" t="e">
        <f>AND(#REF!,"AAAAAH1f/98=")</f>
        <v>#REF!</v>
      </c>
      <c r="HQ38" t="e">
        <f>AND(#REF!,"AAAAAH1f/+A=")</f>
        <v>#REF!</v>
      </c>
      <c r="HR38" t="e">
        <f>AND(#REF!,"AAAAAH1f/+E=")</f>
        <v>#REF!</v>
      </c>
      <c r="HS38" t="e">
        <f>AND(#REF!,"AAAAAH1f/+I=")</f>
        <v>#REF!</v>
      </c>
      <c r="HT38" t="e">
        <f>IF(#REF!,"AAAAAH1f/+M=",0)</f>
        <v>#REF!</v>
      </c>
      <c r="HU38" t="e">
        <f>AND(#REF!,"AAAAAH1f/+Q=")</f>
        <v>#REF!</v>
      </c>
      <c r="HV38" t="e">
        <f>AND(#REF!,"AAAAAH1f/+U=")</f>
        <v>#REF!</v>
      </c>
      <c r="HW38" t="e">
        <f>AND(#REF!,"AAAAAH1f/+Y=")</f>
        <v>#REF!</v>
      </c>
      <c r="HX38" t="e">
        <f>AND(#REF!,"AAAAAH1f/+c=")</f>
        <v>#REF!</v>
      </c>
      <c r="HY38" t="e">
        <f>AND(#REF!,"AAAAAH1f/+g=")</f>
        <v>#REF!</v>
      </c>
      <c r="HZ38" t="e">
        <f>AND(#REF!,"AAAAAH1f/+k=")</f>
        <v>#REF!</v>
      </c>
      <c r="IA38" t="e">
        <f>AND(#REF!,"AAAAAH1f/+o=")</f>
        <v>#REF!</v>
      </c>
      <c r="IB38" t="e">
        <f>AND(#REF!,"AAAAAH1f/+s=")</f>
        <v>#REF!</v>
      </c>
      <c r="IC38" t="e">
        <f>AND(#REF!,"AAAAAH1f/+w=")</f>
        <v>#REF!</v>
      </c>
      <c r="ID38" t="e">
        <f>AND(#REF!,"AAAAAH1f/+0=")</f>
        <v>#REF!</v>
      </c>
      <c r="IE38" t="e">
        <f>AND(#REF!,"AAAAAH1f/+4=")</f>
        <v>#REF!</v>
      </c>
      <c r="IF38" t="e">
        <f>AND(#REF!,"AAAAAH1f/+8=")</f>
        <v>#REF!</v>
      </c>
      <c r="IG38" t="e">
        <f>AND(#REF!,"AAAAAH1f//A=")</f>
        <v>#REF!</v>
      </c>
      <c r="IH38" t="e">
        <f>AND(#REF!,"AAAAAH1f//E=")</f>
        <v>#REF!</v>
      </c>
      <c r="II38" t="e">
        <f>AND(#REF!,"AAAAAH1f//I=")</f>
        <v>#REF!</v>
      </c>
      <c r="IJ38" t="e">
        <f>AND(#REF!,"AAAAAH1f//M=")</f>
        <v>#REF!</v>
      </c>
      <c r="IK38" t="e">
        <f>AND(#REF!,"AAAAAH1f//Q=")</f>
        <v>#REF!</v>
      </c>
      <c r="IL38" t="e">
        <f>AND(#REF!,"AAAAAH1f//U=")</f>
        <v>#REF!</v>
      </c>
      <c r="IM38" t="e">
        <f>AND(#REF!,"AAAAAH1f//Y=")</f>
        <v>#REF!</v>
      </c>
      <c r="IN38" t="e">
        <f>AND(#REF!,"AAAAAH1f//c=")</f>
        <v>#REF!</v>
      </c>
      <c r="IO38" t="e">
        <f>AND(#REF!,"AAAAAH1f//g=")</f>
        <v>#REF!</v>
      </c>
      <c r="IP38" t="e">
        <f>AND(#REF!,"AAAAAH1f//k=")</f>
        <v>#REF!</v>
      </c>
      <c r="IQ38" t="e">
        <f>AND(#REF!,"AAAAAH1f//o=")</f>
        <v>#REF!</v>
      </c>
      <c r="IR38" t="e">
        <f>AND(#REF!,"AAAAAH1f//s=")</f>
        <v>#REF!</v>
      </c>
      <c r="IS38" t="e">
        <f>AND(#REF!,"AAAAAH1f//w=")</f>
        <v>#REF!</v>
      </c>
      <c r="IT38" t="e">
        <f>AND(#REF!,"AAAAAH1f//0=")</f>
        <v>#REF!</v>
      </c>
      <c r="IU38" t="e">
        <f>AND(#REF!,"AAAAAH1f//4=")</f>
        <v>#REF!</v>
      </c>
      <c r="IV38" t="e">
        <f>AND(#REF!,"AAAAAH1f//8=")</f>
        <v>#REF!</v>
      </c>
    </row>
    <row r="39" spans="1:256" x14ac:dyDescent="0.35">
      <c r="A39" t="e">
        <f>AND(#REF!,"AAAAAF5tdwA=")</f>
        <v>#REF!</v>
      </c>
      <c r="B39" t="e">
        <f>AND(#REF!,"AAAAAF5tdwE=")</f>
        <v>#REF!</v>
      </c>
      <c r="C39" t="e">
        <f>AND(#REF!,"AAAAAF5tdwI=")</f>
        <v>#REF!</v>
      </c>
      <c r="D39" t="e">
        <f>AND(#REF!,"AAAAAF5tdwM=")</f>
        <v>#REF!</v>
      </c>
      <c r="E39" t="e">
        <f>AND(#REF!,"AAAAAF5tdwQ=")</f>
        <v>#REF!</v>
      </c>
      <c r="F39" t="e">
        <f>AND(#REF!,"AAAAAF5tdwU=")</f>
        <v>#REF!</v>
      </c>
      <c r="G39" t="e">
        <f>AND(#REF!,"AAAAAF5tdwY=")</f>
        <v>#REF!</v>
      </c>
      <c r="H39" t="e">
        <f>AND(#REF!,"AAAAAF5tdwc=")</f>
        <v>#REF!</v>
      </c>
      <c r="I39" t="e">
        <f>AND(#REF!,"AAAAAF5tdwg=")</f>
        <v>#REF!</v>
      </c>
      <c r="J39" t="e">
        <f>AND(#REF!,"AAAAAF5tdwk=")</f>
        <v>#REF!</v>
      </c>
      <c r="K39" t="e">
        <f>AND(#REF!,"AAAAAF5tdwo=")</f>
        <v>#REF!</v>
      </c>
      <c r="L39" t="e">
        <f>IF(#REF!,"AAAAAF5tdws=",0)</f>
        <v>#REF!</v>
      </c>
      <c r="M39" t="e">
        <f>AND(#REF!,"AAAAAF5tdww=")</f>
        <v>#REF!</v>
      </c>
      <c r="N39" t="e">
        <f>AND(#REF!,"AAAAAF5tdw0=")</f>
        <v>#REF!</v>
      </c>
      <c r="O39" t="e">
        <f>AND(#REF!,"AAAAAF5tdw4=")</f>
        <v>#REF!</v>
      </c>
      <c r="P39" t="e">
        <f>AND(#REF!,"AAAAAF5tdw8=")</f>
        <v>#REF!</v>
      </c>
      <c r="Q39" t="e">
        <f>AND(#REF!,"AAAAAF5tdxA=")</f>
        <v>#REF!</v>
      </c>
      <c r="R39" t="e">
        <f>AND(#REF!,"AAAAAF5tdxE=")</f>
        <v>#REF!</v>
      </c>
      <c r="S39" t="e">
        <f>AND(#REF!,"AAAAAF5tdxI=")</f>
        <v>#REF!</v>
      </c>
      <c r="T39" t="e">
        <f>AND(#REF!,"AAAAAF5tdxM=")</f>
        <v>#REF!</v>
      </c>
      <c r="U39" t="e">
        <f>AND(#REF!,"AAAAAF5tdxQ=")</f>
        <v>#REF!</v>
      </c>
      <c r="V39" t="e">
        <f>AND(#REF!,"AAAAAF5tdxU=")</f>
        <v>#REF!</v>
      </c>
      <c r="W39" t="e">
        <f>AND(#REF!,"AAAAAF5tdxY=")</f>
        <v>#REF!</v>
      </c>
      <c r="X39" t="e">
        <f>AND(#REF!,"AAAAAF5tdxc=")</f>
        <v>#REF!</v>
      </c>
      <c r="Y39" t="e">
        <f>AND(#REF!,"AAAAAF5tdxg=")</f>
        <v>#REF!</v>
      </c>
      <c r="Z39" t="e">
        <f>AND(#REF!,"AAAAAF5tdxk=")</f>
        <v>#REF!</v>
      </c>
      <c r="AA39" t="e">
        <f>AND(#REF!,"AAAAAF5tdxo=")</f>
        <v>#REF!</v>
      </c>
      <c r="AB39" t="e">
        <f>AND(#REF!,"AAAAAF5tdxs=")</f>
        <v>#REF!</v>
      </c>
      <c r="AC39" t="e">
        <f>AND(#REF!,"AAAAAF5tdxw=")</f>
        <v>#REF!</v>
      </c>
      <c r="AD39" t="e">
        <f>AND(#REF!,"AAAAAF5tdx0=")</f>
        <v>#REF!</v>
      </c>
      <c r="AE39" t="e">
        <f>AND(#REF!,"AAAAAF5tdx4=")</f>
        <v>#REF!</v>
      </c>
      <c r="AF39" t="e">
        <f>AND(#REF!,"AAAAAF5tdx8=")</f>
        <v>#REF!</v>
      </c>
      <c r="AG39" t="e">
        <f>AND(#REF!,"AAAAAF5tdyA=")</f>
        <v>#REF!</v>
      </c>
      <c r="AH39" t="e">
        <f>AND(#REF!,"AAAAAF5tdyE=")</f>
        <v>#REF!</v>
      </c>
      <c r="AI39" t="e">
        <f>AND(#REF!,"AAAAAF5tdyI=")</f>
        <v>#REF!</v>
      </c>
      <c r="AJ39" t="e">
        <f>AND(#REF!,"AAAAAF5tdyM=")</f>
        <v>#REF!</v>
      </c>
      <c r="AK39" t="e">
        <f>AND(#REF!,"AAAAAF5tdyQ=")</f>
        <v>#REF!</v>
      </c>
      <c r="AL39" t="e">
        <f>AND(#REF!,"AAAAAF5tdyU=")</f>
        <v>#REF!</v>
      </c>
      <c r="AM39" t="e">
        <f>AND(#REF!,"AAAAAF5tdyY=")</f>
        <v>#REF!</v>
      </c>
      <c r="AN39" t="e">
        <f>AND(#REF!,"AAAAAF5tdyc=")</f>
        <v>#REF!</v>
      </c>
      <c r="AO39" t="e">
        <f>AND(#REF!,"AAAAAF5tdyg=")</f>
        <v>#REF!</v>
      </c>
      <c r="AP39" t="e">
        <f>AND(#REF!,"AAAAAF5tdyk=")</f>
        <v>#REF!</v>
      </c>
      <c r="AQ39" t="e">
        <f>AND(#REF!,"AAAAAF5tdyo=")</f>
        <v>#REF!</v>
      </c>
      <c r="AR39" t="e">
        <f>AND(#REF!,"AAAAAF5tdys=")</f>
        <v>#REF!</v>
      </c>
      <c r="AS39" t="e">
        <f>AND(#REF!,"AAAAAF5tdyw=")</f>
        <v>#REF!</v>
      </c>
      <c r="AT39" t="e">
        <f>AND(#REF!,"AAAAAF5tdy0=")</f>
        <v>#REF!</v>
      </c>
      <c r="AU39" t="e">
        <f>AND(#REF!,"AAAAAF5tdy4=")</f>
        <v>#REF!</v>
      </c>
      <c r="AV39" t="e">
        <f>AND(#REF!,"AAAAAF5tdy8=")</f>
        <v>#REF!</v>
      </c>
      <c r="AW39" t="e">
        <f>AND(#REF!,"AAAAAF5tdzA=")</f>
        <v>#REF!</v>
      </c>
      <c r="AX39" t="e">
        <f>AND(#REF!,"AAAAAF5tdzE=")</f>
        <v>#REF!</v>
      </c>
      <c r="AY39" t="e">
        <f>AND(#REF!,"AAAAAF5tdzI=")</f>
        <v>#REF!</v>
      </c>
      <c r="AZ39" t="e">
        <f>IF(#REF!,"AAAAAF5tdzM=",0)</f>
        <v>#REF!</v>
      </c>
      <c r="BA39" t="e">
        <f>AND(#REF!,"AAAAAF5tdzQ=")</f>
        <v>#REF!</v>
      </c>
      <c r="BB39" t="e">
        <f>AND(#REF!,"AAAAAF5tdzU=")</f>
        <v>#REF!</v>
      </c>
      <c r="BC39" t="e">
        <f>AND(#REF!,"AAAAAF5tdzY=")</f>
        <v>#REF!</v>
      </c>
      <c r="BD39" t="e">
        <f>AND(#REF!,"AAAAAF5tdzc=")</f>
        <v>#REF!</v>
      </c>
      <c r="BE39" t="e">
        <f>AND(#REF!,"AAAAAF5tdzg=")</f>
        <v>#REF!</v>
      </c>
      <c r="BF39" t="e">
        <f>AND(#REF!,"AAAAAF5tdzk=")</f>
        <v>#REF!</v>
      </c>
      <c r="BG39" t="e">
        <f>AND(#REF!,"AAAAAF5tdzo=")</f>
        <v>#REF!</v>
      </c>
      <c r="BH39" t="e">
        <f>AND(#REF!,"AAAAAF5tdzs=")</f>
        <v>#REF!</v>
      </c>
      <c r="BI39" t="e">
        <f>AND(#REF!,"AAAAAF5tdzw=")</f>
        <v>#REF!</v>
      </c>
      <c r="BJ39" t="e">
        <f>AND(#REF!,"AAAAAF5tdz0=")</f>
        <v>#REF!</v>
      </c>
      <c r="BK39" t="e">
        <f>AND(#REF!,"AAAAAF5tdz4=")</f>
        <v>#REF!</v>
      </c>
      <c r="BL39" t="e">
        <f>AND(#REF!,"AAAAAF5tdz8=")</f>
        <v>#REF!</v>
      </c>
      <c r="BM39" t="e">
        <f>AND(#REF!,"AAAAAF5td0A=")</f>
        <v>#REF!</v>
      </c>
      <c r="BN39" t="e">
        <f>AND(#REF!,"AAAAAF5td0E=")</f>
        <v>#REF!</v>
      </c>
      <c r="BO39" t="e">
        <f>AND(#REF!,"AAAAAF5td0I=")</f>
        <v>#REF!</v>
      </c>
      <c r="BP39" t="e">
        <f>AND(#REF!,"AAAAAF5td0M=")</f>
        <v>#REF!</v>
      </c>
      <c r="BQ39" t="e">
        <f>AND(#REF!,"AAAAAF5td0Q=")</f>
        <v>#REF!</v>
      </c>
      <c r="BR39" t="e">
        <f>AND(#REF!,"AAAAAF5td0U=")</f>
        <v>#REF!</v>
      </c>
      <c r="BS39" t="e">
        <f>AND(#REF!,"AAAAAF5td0Y=")</f>
        <v>#REF!</v>
      </c>
      <c r="BT39" t="e">
        <f>AND(#REF!,"AAAAAF5td0c=")</f>
        <v>#REF!</v>
      </c>
      <c r="BU39" t="e">
        <f>AND(#REF!,"AAAAAF5td0g=")</f>
        <v>#REF!</v>
      </c>
      <c r="BV39" t="e">
        <f>AND(#REF!,"AAAAAF5td0k=")</f>
        <v>#REF!</v>
      </c>
      <c r="BW39" t="e">
        <f>AND(#REF!,"AAAAAF5td0o=")</f>
        <v>#REF!</v>
      </c>
      <c r="BX39" t="e">
        <f>AND(#REF!,"AAAAAF5td0s=")</f>
        <v>#REF!</v>
      </c>
      <c r="BY39" t="e">
        <f>AND(#REF!,"AAAAAF5td0w=")</f>
        <v>#REF!</v>
      </c>
      <c r="BZ39" t="e">
        <f>AND(#REF!,"AAAAAF5td00=")</f>
        <v>#REF!</v>
      </c>
      <c r="CA39" t="e">
        <f>AND(#REF!,"AAAAAF5td04=")</f>
        <v>#REF!</v>
      </c>
      <c r="CB39" t="e">
        <f>AND(#REF!,"AAAAAF5td08=")</f>
        <v>#REF!</v>
      </c>
      <c r="CC39" t="e">
        <f>AND(#REF!,"AAAAAF5td1A=")</f>
        <v>#REF!</v>
      </c>
      <c r="CD39" t="e">
        <f>AND(#REF!,"AAAAAF5td1E=")</f>
        <v>#REF!</v>
      </c>
      <c r="CE39" t="e">
        <f>AND(#REF!,"AAAAAF5td1I=")</f>
        <v>#REF!</v>
      </c>
      <c r="CF39" t="e">
        <f>AND(#REF!,"AAAAAF5td1M=")</f>
        <v>#REF!</v>
      </c>
      <c r="CG39" t="e">
        <f>AND(#REF!,"AAAAAF5td1Q=")</f>
        <v>#REF!</v>
      </c>
      <c r="CH39" t="e">
        <f>AND(#REF!,"AAAAAF5td1U=")</f>
        <v>#REF!</v>
      </c>
      <c r="CI39" t="e">
        <f>AND(#REF!,"AAAAAF5td1Y=")</f>
        <v>#REF!</v>
      </c>
      <c r="CJ39" t="e">
        <f>AND(#REF!,"AAAAAF5td1c=")</f>
        <v>#REF!</v>
      </c>
      <c r="CK39" t="e">
        <f>AND(#REF!,"AAAAAF5td1g=")</f>
        <v>#REF!</v>
      </c>
      <c r="CL39" t="e">
        <f>AND(#REF!,"AAAAAF5td1k=")</f>
        <v>#REF!</v>
      </c>
      <c r="CM39" t="e">
        <f>AND(#REF!,"AAAAAF5td1o=")</f>
        <v>#REF!</v>
      </c>
      <c r="CN39" t="e">
        <f>IF(#REF!,"AAAAAF5td1s=",0)</f>
        <v>#REF!</v>
      </c>
      <c r="CO39" t="e">
        <f>AND(#REF!,"AAAAAF5td1w=")</f>
        <v>#REF!</v>
      </c>
      <c r="CP39" t="e">
        <f>AND(#REF!,"AAAAAF5td10=")</f>
        <v>#REF!</v>
      </c>
      <c r="CQ39" t="e">
        <f>AND(#REF!,"AAAAAF5td14=")</f>
        <v>#REF!</v>
      </c>
      <c r="CR39" t="e">
        <f>AND(#REF!,"AAAAAF5td18=")</f>
        <v>#REF!</v>
      </c>
      <c r="CS39" t="e">
        <f>AND(#REF!,"AAAAAF5td2A=")</f>
        <v>#REF!</v>
      </c>
      <c r="CT39" t="e">
        <f>AND(#REF!,"AAAAAF5td2E=")</f>
        <v>#REF!</v>
      </c>
      <c r="CU39" t="e">
        <f>AND(#REF!,"AAAAAF5td2I=")</f>
        <v>#REF!</v>
      </c>
      <c r="CV39" t="e">
        <f>AND(#REF!,"AAAAAF5td2M=")</f>
        <v>#REF!</v>
      </c>
      <c r="CW39" t="e">
        <f>AND(#REF!,"AAAAAF5td2Q=")</f>
        <v>#REF!</v>
      </c>
      <c r="CX39" t="e">
        <f>AND(#REF!,"AAAAAF5td2U=")</f>
        <v>#REF!</v>
      </c>
      <c r="CY39" t="e">
        <f>AND(#REF!,"AAAAAF5td2Y=")</f>
        <v>#REF!</v>
      </c>
      <c r="CZ39" t="e">
        <f>AND(#REF!,"AAAAAF5td2c=")</f>
        <v>#REF!</v>
      </c>
      <c r="DA39" t="e">
        <f>AND(#REF!,"AAAAAF5td2g=")</f>
        <v>#REF!</v>
      </c>
      <c r="DB39" t="e">
        <f>AND(#REF!,"AAAAAF5td2k=")</f>
        <v>#REF!</v>
      </c>
      <c r="DC39" t="e">
        <f>AND(#REF!,"AAAAAF5td2o=")</f>
        <v>#REF!</v>
      </c>
      <c r="DD39" t="e">
        <f>AND(#REF!,"AAAAAF5td2s=")</f>
        <v>#REF!</v>
      </c>
      <c r="DE39" t="e">
        <f>AND(#REF!,"AAAAAF5td2w=")</f>
        <v>#REF!</v>
      </c>
      <c r="DF39" t="e">
        <f>AND(#REF!,"AAAAAF5td20=")</f>
        <v>#REF!</v>
      </c>
      <c r="DG39" t="e">
        <f>AND(#REF!,"AAAAAF5td24=")</f>
        <v>#REF!</v>
      </c>
      <c r="DH39" t="e">
        <f>AND(#REF!,"AAAAAF5td28=")</f>
        <v>#REF!</v>
      </c>
      <c r="DI39" t="e">
        <f>AND(#REF!,"AAAAAF5td3A=")</f>
        <v>#REF!</v>
      </c>
      <c r="DJ39" t="e">
        <f>AND(#REF!,"AAAAAF5td3E=")</f>
        <v>#REF!</v>
      </c>
      <c r="DK39" t="e">
        <f>AND(#REF!,"AAAAAF5td3I=")</f>
        <v>#REF!</v>
      </c>
      <c r="DL39" t="e">
        <f>AND(#REF!,"AAAAAF5td3M=")</f>
        <v>#REF!</v>
      </c>
      <c r="DM39" t="e">
        <f>AND(#REF!,"AAAAAF5td3Q=")</f>
        <v>#REF!</v>
      </c>
      <c r="DN39" t="e">
        <f>AND(#REF!,"AAAAAF5td3U=")</f>
        <v>#REF!</v>
      </c>
      <c r="DO39" t="e">
        <f>AND(#REF!,"AAAAAF5td3Y=")</f>
        <v>#REF!</v>
      </c>
      <c r="DP39" t="e">
        <f>AND(#REF!,"AAAAAF5td3c=")</f>
        <v>#REF!</v>
      </c>
      <c r="DQ39" t="e">
        <f>AND(#REF!,"AAAAAF5td3g=")</f>
        <v>#REF!</v>
      </c>
      <c r="DR39" t="e">
        <f>AND(#REF!,"AAAAAF5td3k=")</f>
        <v>#REF!</v>
      </c>
      <c r="DS39" t="e">
        <f>AND(#REF!,"AAAAAF5td3o=")</f>
        <v>#REF!</v>
      </c>
      <c r="DT39" t="e">
        <f>AND(#REF!,"AAAAAF5td3s=")</f>
        <v>#REF!</v>
      </c>
      <c r="DU39" t="e">
        <f>AND(#REF!,"AAAAAF5td3w=")</f>
        <v>#REF!</v>
      </c>
      <c r="DV39" t="e">
        <f>AND(#REF!,"AAAAAF5td30=")</f>
        <v>#REF!</v>
      </c>
      <c r="DW39" t="e">
        <f>AND(#REF!,"AAAAAF5td34=")</f>
        <v>#REF!</v>
      </c>
      <c r="DX39" t="e">
        <f>AND(#REF!,"AAAAAF5td38=")</f>
        <v>#REF!</v>
      </c>
      <c r="DY39" t="e">
        <f>AND(#REF!,"AAAAAF5td4A=")</f>
        <v>#REF!</v>
      </c>
      <c r="DZ39" t="e">
        <f>AND(#REF!,"AAAAAF5td4E=")</f>
        <v>#REF!</v>
      </c>
      <c r="EA39" t="e">
        <f>AND(#REF!,"AAAAAF5td4I=")</f>
        <v>#REF!</v>
      </c>
      <c r="EB39" t="e">
        <f>IF(#REF!,"AAAAAF5td4M=",0)</f>
        <v>#REF!</v>
      </c>
      <c r="EC39" t="e">
        <f>AND(#REF!,"AAAAAF5td4Q=")</f>
        <v>#REF!</v>
      </c>
      <c r="ED39" t="e">
        <f>AND(#REF!,"AAAAAF5td4U=")</f>
        <v>#REF!</v>
      </c>
      <c r="EE39" t="e">
        <f>AND(#REF!,"AAAAAF5td4Y=")</f>
        <v>#REF!</v>
      </c>
      <c r="EF39" t="e">
        <f>AND(#REF!,"AAAAAF5td4c=")</f>
        <v>#REF!</v>
      </c>
      <c r="EG39" t="e">
        <f>AND(#REF!,"AAAAAF5td4g=")</f>
        <v>#REF!</v>
      </c>
      <c r="EH39" t="e">
        <f>AND(#REF!,"AAAAAF5td4k=")</f>
        <v>#REF!</v>
      </c>
      <c r="EI39" t="e">
        <f>AND(#REF!,"AAAAAF5td4o=")</f>
        <v>#REF!</v>
      </c>
      <c r="EJ39" t="e">
        <f>AND(#REF!,"AAAAAF5td4s=")</f>
        <v>#REF!</v>
      </c>
      <c r="EK39" t="e">
        <f>AND(#REF!,"AAAAAF5td4w=")</f>
        <v>#REF!</v>
      </c>
      <c r="EL39" t="e">
        <f>AND(#REF!,"AAAAAF5td40=")</f>
        <v>#REF!</v>
      </c>
      <c r="EM39" t="e">
        <f>AND(#REF!,"AAAAAF5td44=")</f>
        <v>#REF!</v>
      </c>
      <c r="EN39" t="e">
        <f>AND(#REF!,"AAAAAF5td48=")</f>
        <v>#REF!</v>
      </c>
      <c r="EO39" t="e">
        <f>AND(#REF!,"AAAAAF5td5A=")</f>
        <v>#REF!</v>
      </c>
      <c r="EP39" t="e">
        <f>AND(#REF!,"AAAAAF5td5E=")</f>
        <v>#REF!</v>
      </c>
      <c r="EQ39" t="e">
        <f>AND(#REF!,"AAAAAF5td5I=")</f>
        <v>#REF!</v>
      </c>
      <c r="ER39" t="e">
        <f>AND(#REF!,"AAAAAF5td5M=")</f>
        <v>#REF!</v>
      </c>
      <c r="ES39" t="e">
        <f>AND(#REF!,"AAAAAF5td5Q=")</f>
        <v>#REF!</v>
      </c>
      <c r="ET39" t="e">
        <f>AND(#REF!,"AAAAAF5td5U=")</f>
        <v>#REF!</v>
      </c>
      <c r="EU39" t="e">
        <f>AND(#REF!,"AAAAAF5td5Y=")</f>
        <v>#REF!</v>
      </c>
      <c r="EV39" t="e">
        <f>AND(#REF!,"AAAAAF5td5c=")</f>
        <v>#REF!</v>
      </c>
      <c r="EW39" t="e">
        <f>AND(#REF!,"AAAAAF5td5g=")</f>
        <v>#REF!</v>
      </c>
      <c r="EX39" t="e">
        <f>AND(#REF!,"AAAAAF5td5k=")</f>
        <v>#REF!</v>
      </c>
      <c r="EY39" t="e">
        <f>AND(#REF!,"AAAAAF5td5o=")</f>
        <v>#REF!</v>
      </c>
      <c r="EZ39" t="e">
        <f>AND(#REF!,"AAAAAF5td5s=")</f>
        <v>#REF!</v>
      </c>
      <c r="FA39" t="e">
        <f>AND(#REF!,"AAAAAF5td5w=")</f>
        <v>#REF!</v>
      </c>
      <c r="FB39" t="e">
        <f>AND(#REF!,"AAAAAF5td50=")</f>
        <v>#REF!</v>
      </c>
      <c r="FC39" t="e">
        <f>AND(#REF!,"AAAAAF5td54=")</f>
        <v>#REF!</v>
      </c>
      <c r="FD39" t="e">
        <f>AND(#REF!,"AAAAAF5td58=")</f>
        <v>#REF!</v>
      </c>
      <c r="FE39" t="e">
        <f>AND(#REF!,"AAAAAF5td6A=")</f>
        <v>#REF!</v>
      </c>
      <c r="FF39" t="e">
        <f>AND(#REF!,"AAAAAF5td6E=")</f>
        <v>#REF!</v>
      </c>
      <c r="FG39" t="e">
        <f>AND(#REF!,"AAAAAF5td6I=")</f>
        <v>#REF!</v>
      </c>
      <c r="FH39" t="e">
        <f>AND(#REF!,"AAAAAF5td6M=")</f>
        <v>#REF!</v>
      </c>
      <c r="FI39" t="e">
        <f>AND(#REF!,"AAAAAF5td6Q=")</f>
        <v>#REF!</v>
      </c>
      <c r="FJ39" t="e">
        <f>AND(#REF!,"AAAAAF5td6U=")</f>
        <v>#REF!</v>
      </c>
      <c r="FK39" t="e">
        <f>AND(#REF!,"AAAAAF5td6Y=")</f>
        <v>#REF!</v>
      </c>
      <c r="FL39" t="e">
        <f>AND(#REF!,"AAAAAF5td6c=")</f>
        <v>#REF!</v>
      </c>
      <c r="FM39" t="e">
        <f>AND(#REF!,"AAAAAF5td6g=")</f>
        <v>#REF!</v>
      </c>
      <c r="FN39" t="e">
        <f>AND(#REF!,"AAAAAF5td6k=")</f>
        <v>#REF!</v>
      </c>
      <c r="FO39" t="e">
        <f>AND(#REF!,"AAAAAF5td6o=")</f>
        <v>#REF!</v>
      </c>
      <c r="FP39" t="e">
        <f>IF(#REF!,"AAAAAF5td6s=",0)</f>
        <v>#REF!</v>
      </c>
      <c r="FQ39" t="e">
        <f>AND(#REF!,"AAAAAF5td6w=")</f>
        <v>#REF!</v>
      </c>
      <c r="FR39" t="e">
        <f>AND(#REF!,"AAAAAF5td60=")</f>
        <v>#REF!</v>
      </c>
      <c r="FS39" t="e">
        <f>AND(#REF!,"AAAAAF5td64=")</f>
        <v>#REF!</v>
      </c>
      <c r="FT39" t="e">
        <f>AND(#REF!,"AAAAAF5td68=")</f>
        <v>#REF!</v>
      </c>
      <c r="FU39" t="e">
        <f>AND(#REF!,"AAAAAF5td7A=")</f>
        <v>#REF!</v>
      </c>
      <c r="FV39" t="e">
        <f>AND(#REF!,"AAAAAF5td7E=")</f>
        <v>#REF!</v>
      </c>
      <c r="FW39" t="e">
        <f>AND(#REF!,"AAAAAF5td7I=")</f>
        <v>#REF!</v>
      </c>
      <c r="FX39" t="e">
        <f>AND(#REF!,"AAAAAF5td7M=")</f>
        <v>#REF!</v>
      </c>
      <c r="FY39" t="e">
        <f>AND(#REF!,"AAAAAF5td7Q=")</f>
        <v>#REF!</v>
      </c>
      <c r="FZ39" t="e">
        <f>AND(#REF!,"AAAAAF5td7U=")</f>
        <v>#REF!</v>
      </c>
      <c r="GA39" t="e">
        <f>AND(#REF!,"AAAAAF5td7Y=")</f>
        <v>#REF!</v>
      </c>
      <c r="GB39" t="e">
        <f>AND(#REF!,"AAAAAF5td7c=")</f>
        <v>#REF!</v>
      </c>
      <c r="GC39" t="e">
        <f>AND(#REF!,"AAAAAF5td7g=")</f>
        <v>#REF!</v>
      </c>
      <c r="GD39" t="e">
        <f>AND(#REF!,"AAAAAF5td7k=")</f>
        <v>#REF!</v>
      </c>
      <c r="GE39" t="e">
        <f>AND(#REF!,"AAAAAF5td7o=")</f>
        <v>#REF!</v>
      </c>
      <c r="GF39" t="e">
        <f>AND(#REF!,"AAAAAF5td7s=")</f>
        <v>#REF!</v>
      </c>
      <c r="GG39" t="e">
        <f>AND(#REF!,"AAAAAF5td7w=")</f>
        <v>#REF!</v>
      </c>
      <c r="GH39" t="e">
        <f>AND(#REF!,"AAAAAF5td70=")</f>
        <v>#REF!</v>
      </c>
      <c r="GI39" t="e">
        <f>AND(#REF!,"AAAAAF5td74=")</f>
        <v>#REF!</v>
      </c>
      <c r="GJ39" t="e">
        <f>AND(#REF!,"AAAAAF5td78=")</f>
        <v>#REF!</v>
      </c>
      <c r="GK39" t="e">
        <f>AND(#REF!,"AAAAAF5td8A=")</f>
        <v>#REF!</v>
      </c>
      <c r="GL39" t="e">
        <f>AND(#REF!,"AAAAAF5td8E=")</f>
        <v>#REF!</v>
      </c>
      <c r="GM39" t="e">
        <f>AND(#REF!,"AAAAAF5td8I=")</f>
        <v>#REF!</v>
      </c>
      <c r="GN39" t="e">
        <f>AND(#REF!,"AAAAAF5td8M=")</f>
        <v>#REF!</v>
      </c>
      <c r="GO39" t="e">
        <f>AND(#REF!,"AAAAAF5td8Q=")</f>
        <v>#REF!</v>
      </c>
      <c r="GP39" t="e">
        <f>AND(#REF!,"AAAAAF5td8U=")</f>
        <v>#REF!</v>
      </c>
      <c r="GQ39" t="e">
        <f>AND(#REF!,"AAAAAF5td8Y=")</f>
        <v>#REF!</v>
      </c>
      <c r="GR39" t="e">
        <f>AND(#REF!,"AAAAAF5td8c=")</f>
        <v>#REF!</v>
      </c>
      <c r="GS39" t="e">
        <f>AND(#REF!,"AAAAAF5td8g=")</f>
        <v>#REF!</v>
      </c>
      <c r="GT39" t="e">
        <f>AND(#REF!,"AAAAAF5td8k=")</f>
        <v>#REF!</v>
      </c>
      <c r="GU39" t="e">
        <f>AND(#REF!,"AAAAAF5td8o=")</f>
        <v>#REF!</v>
      </c>
      <c r="GV39" t="e">
        <f>AND(#REF!,"AAAAAF5td8s=")</f>
        <v>#REF!</v>
      </c>
      <c r="GW39" t="e">
        <f>AND(#REF!,"AAAAAF5td8w=")</f>
        <v>#REF!</v>
      </c>
      <c r="GX39" t="e">
        <f>AND(#REF!,"AAAAAF5td80=")</f>
        <v>#REF!</v>
      </c>
      <c r="GY39" t="e">
        <f>AND(#REF!,"AAAAAF5td84=")</f>
        <v>#REF!</v>
      </c>
      <c r="GZ39" t="e">
        <f>AND(#REF!,"AAAAAF5td88=")</f>
        <v>#REF!</v>
      </c>
      <c r="HA39" t="e">
        <f>AND(#REF!,"AAAAAF5td9A=")</f>
        <v>#REF!</v>
      </c>
      <c r="HB39" t="e">
        <f>AND(#REF!,"AAAAAF5td9E=")</f>
        <v>#REF!</v>
      </c>
      <c r="HC39" t="e">
        <f>AND(#REF!,"AAAAAF5td9I=")</f>
        <v>#REF!</v>
      </c>
      <c r="HD39" t="e">
        <f>IF(#REF!,"AAAAAF5td9M=",0)</f>
        <v>#REF!</v>
      </c>
      <c r="HE39" t="e">
        <f>AND(#REF!,"AAAAAF5td9Q=")</f>
        <v>#REF!</v>
      </c>
      <c r="HF39" t="e">
        <f>AND(#REF!,"AAAAAF5td9U=")</f>
        <v>#REF!</v>
      </c>
      <c r="HG39" t="e">
        <f>AND(#REF!,"AAAAAF5td9Y=")</f>
        <v>#REF!</v>
      </c>
      <c r="HH39" t="e">
        <f>AND(#REF!,"AAAAAF5td9c=")</f>
        <v>#REF!</v>
      </c>
      <c r="HI39" t="e">
        <f>AND(#REF!,"AAAAAF5td9g=")</f>
        <v>#REF!</v>
      </c>
      <c r="HJ39" t="e">
        <f>AND(#REF!,"AAAAAF5td9k=")</f>
        <v>#REF!</v>
      </c>
      <c r="HK39" t="e">
        <f>AND(#REF!,"AAAAAF5td9o=")</f>
        <v>#REF!</v>
      </c>
      <c r="HL39" t="e">
        <f>AND(#REF!,"AAAAAF5td9s=")</f>
        <v>#REF!</v>
      </c>
      <c r="HM39" t="e">
        <f>AND(#REF!,"AAAAAF5td9w=")</f>
        <v>#REF!</v>
      </c>
      <c r="HN39" t="e">
        <f>AND(#REF!,"AAAAAF5td90=")</f>
        <v>#REF!</v>
      </c>
      <c r="HO39" t="e">
        <f>AND(#REF!,"AAAAAF5td94=")</f>
        <v>#REF!</v>
      </c>
      <c r="HP39" t="e">
        <f>AND(#REF!,"AAAAAF5td98=")</f>
        <v>#REF!</v>
      </c>
      <c r="HQ39" t="e">
        <f>AND(#REF!,"AAAAAF5td+A=")</f>
        <v>#REF!</v>
      </c>
      <c r="HR39" t="e">
        <f>AND(#REF!,"AAAAAF5td+E=")</f>
        <v>#REF!</v>
      </c>
      <c r="HS39" t="e">
        <f>AND(#REF!,"AAAAAF5td+I=")</f>
        <v>#REF!</v>
      </c>
      <c r="HT39" t="e">
        <f>AND(#REF!,"AAAAAF5td+M=")</f>
        <v>#REF!</v>
      </c>
      <c r="HU39" t="e">
        <f>AND(#REF!,"AAAAAF5td+Q=")</f>
        <v>#REF!</v>
      </c>
      <c r="HV39" t="e">
        <f>AND(#REF!,"AAAAAF5td+U=")</f>
        <v>#REF!</v>
      </c>
      <c r="HW39" t="e">
        <f>AND(#REF!,"AAAAAF5td+Y=")</f>
        <v>#REF!</v>
      </c>
      <c r="HX39" t="e">
        <f>AND(#REF!,"AAAAAF5td+c=")</f>
        <v>#REF!</v>
      </c>
      <c r="HY39" t="e">
        <f>AND(#REF!,"AAAAAF5td+g=")</f>
        <v>#REF!</v>
      </c>
      <c r="HZ39" t="e">
        <f>AND(#REF!,"AAAAAF5td+k=")</f>
        <v>#REF!</v>
      </c>
      <c r="IA39" t="e">
        <f>AND(#REF!,"AAAAAF5td+o=")</f>
        <v>#REF!</v>
      </c>
      <c r="IB39" t="e">
        <f>AND(#REF!,"AAAAAF5td+s=")</f>
        <v>#REF!</v>
      </c>
      <c r="IC39" t="e">
        <f>AND(#REF!,"AAAAAF5td+w=")</f>
        <v>#REF!</v>
      </c>
      <c r="ID39" t="e">
        <f>AND(#REF!,"AAAAAF5td+0=")</f>
        <v>#REF!</v>
      </c>
      <c r="IE39" t="e">
        <f>AND(#REF!,"AAAAAF5td+4=")</f>
        <v>#REF!</v>
      </c>
      <c r="IF39" t="e">
        <f>AND(#REF!,"AAAAAF5td+8=")</f>
        <v>#REF!</v>
      </c>
      <c r="IG39" t="e">
        <f>AND(#REF!,"AAAAAF5td/A=")</f>
        <v>#REF!</v>
      </c>
      <c r="IH39" t="e">
        <f>AND(#REF!,"AAAAAF5td/E=")</f>
        <v>#REF!</v>
      </c>
      <c r="II39" t="e">
        <f>AND(#REF!,"AAAAAF5td/I=")</f>
        <v>#REF!</v>
      </c>
      <c r="IJ39" t="e">
        <f>AND(#REF!,"AAAAAF5td/M=")</f>
        <v>#REF!</v>
      </c>
      <c r="IK39" t="e">
        <f>AND(#REF!,"AAAAAF5td/Q=")</f>
        <v>#REF!</v>
      </c>
      <c r="IL39" t="e">
        <f>AND(#REF!,"AAAAAF5td/U=")</f>
        <v>#REF!</v>
      </c>
      <c r="IM39" t="e">
        <f>AND(#REF!,"AAAAAF5td/Y=")</f>
        <v>#REF!</v>
      </c>
      <c r="IN39" t="e">
        <f>AND(#REF!,"AAAAAF5td/c=")</f>
        <v>#REF!</v>
      </c>
      <c r="IO39" t="e">
        <f>AND(#REF!,"AAAAAF5td/g=")</f>
        <v>#REF!</v>
      </c>
      <c r="IP39" t="e">
        <f>AND(#REF!,"AAAAAF5td/k=")</f>
        <v>#REF!</v>
      </c>
      <c r="IQ39" t="e">
        <f>AND(#REF!,"AAAAAF5td/o=")</f>
        <v>#REF!</v>
      </c>
      <c r="IR39" t="e">
        <f>IF(#REF!,"AAAAAF5td/s=",0)</f>
        <v>#REF!</v>
      </c>
      <c r="IS39" t="e">
        <f>AND(#REF!,"AAAAAF5td/w=")</f>
        <v>#REF!</v>
      </c>
      <c r="IT39" t="e">
        <f>AND(#REF!,"AAAAAF5td/0=")</f>
        <v>#REF!</v>
      </c>
      <c r="IU39" t="e">
        <f>AND(#REF!,"AAAAAF5td/4=")</f>
        <v>#REF!</v>
      </c>
      <c r="IV39" t="e">
        <f>AND(#REF!,"AAAAAF5td/8=")</f>
        <v>#REF!</v>
      </c>
    </row>
    <row r="40" spans="1:256" x14ac:dyDescent="0.35">
      <c r="A40" t="e">
        <f>AND(#REF!,"AAAAAHT/9wA=")</f>
        <v>#REF!</v>
      </c>
      <c r="B40" t="e">
        <f>AND(#REF!,"AAAAAHT/9wE=")</f>
        <v>#REF!</v>
      </c>
      <c r="C40" t="e">
        <f>AND(#REF!,"AAAAAHT/9wI=")</f>
        <v>#REF!</v>
      </c>
      <c r="D40" t="e">
        <f>AND(#REF!,"AAAAAHT/9wM=")</f>
        <v>#REF!</v>
      </c>
      <c r="E40" t="e">
        <f>AND(#REF!,"AAAAAHT/9wQ=")</f>
        <v>#REF!</v>
      </c>
      <c r="F40" t="e">
        <f>AND(#REF!,"AAAAAHT/9wU=")</f>
        <v>#REF!</v>
      </c>
      <c r="G40" t="e">
        <f>AND(#REF!,"AAAAAHT/9wY=")</f>
        <v>#REF!</v>
      </c>
      <c r="H40" t="e">
        <f>AND(#REF!,"AAAAAHT/9wc=")</f>
        <v>#REF!</v>
      </c>
      <c r="I40" t="e">
        <f>AND(#REF!,"AAAAAHT/9wg=")</f>
        <v>#REF!</v>
      </c>
      <c r="J40" t="e">
        <f>AND(#REF!,"AAAAAHT/9wk=")</f>
        <v>#REF!</v>
      </c>
      <c r="K40" t="e">
        <f>AND(#REF!,"AAAAAHT/9wo=")</f>
        <v>#REF!</v>
      </c>
      <c r="L40" t="e">
        <f>AND(#REF!,"AAAAAHT/9ws=")</f>
        <v>#REF!</v>
      </c>
      <c r="M40" t="e">
        <f>AND(#REF!,"AAAAAHT/9ww=")</f>
        <v>#REF!</v>
      </c>
      <c r="N40" t="e">
        <f>AND(#REF!,"AAAAAHT/9w0=")</f>
        <v>#REF!</v>
      </c>
      <c r="O40" t="e">
        <f>AND(#REF!,"AAAAAHT/9w4=")</f>
        <v>#REF!</v>
      </c>
      <c r="P40" t="e">
        <f>AND(#REF!,"AAAAAHT/9w8=")</f>
        <v>#REF!</v>
      </c>
      <c r="Q40" t="e">
        <f>AND(#REF!,"AAAAAHT/9xA=")</f>
        <v>#REF!</v>
      </c>
      <c r="R40" t="e">
        <f>AND(#REF!,"AAAAAHT/9xE=")</f>
        <v>#REF!</v>
      </c>
      <c r="S40" t="e">
        <f>AND(#REF!,"AAAAAHT/9xI=")</f>
        <v>#REF!</v>
      </c>
      <c r="T40" t="e">
        <f>AND(#REF!,"AAAAAHT/9xM=")</f>
        <v>#REF!</v>
      </c>
      <c r="U40" t="e">
        <f>AND(#REF!,"AAAAAHT/9xQ=")</f>
        <v>#REF!</v>
      </c>
      <c r="V40" t="e">
        <f>AND(#REF!,"AAAAAHT/9xU=")</f>
        <v>#REF!</v>
      </c>
      <c r="W40" t="e">
        <f>AND(#REF!,"AAAAAHT/9xY=")</f>
        <v>#REF!</v>
      </c>
      <c r="X40" t="e">
        <f>AND(#REF!,"AAAAAHT/9xc=")</f>
        <v>#REF!</v>
      </c>
      <c r="Y40" t="e">
        <f>AND(#REF!,"AAAAAHT/9xg=")</f>
        <v>#REF!</v>
      </c>
      <c r="Z40" t="e">
        <f>AND(#REF!,"AAAAAHT/9xk=")</f>
        <v>#REF!</v>
      </c>
      <c r="AA40" t="e">
        <f>AND(#REF!,"AAAAAHT/9xo=")</f>
        <v>#REF!</v>
      </c>
      <c r="AB40" t="e">
        <f>AND(#REF!,"AAAAAHT/9xs=")</f>
        <v>#REF!</v>
      </c>
      <c r="AC40" t="e">
        <f>AND(#REF!,"AAAAAHT/9xw=")</f>
        <v>#REF!</v>
      </c>
      <c r="AD40" t="e">
        <f>AND(#REF!,"AAAAAHT/9x0=")</f>
        <v>#REF!</v>
      </c>
      <c r="AE40" t="e">
        <f>AND(#REF!,"AAAAAHT/9x4=")</f>
        <v>#REF!</v>
      </c>
      <c r="AF40" t="e">
        <f>AND(#REF!,"AAAAAHT/9x8=")</f>
        <v>#REF!</v>
      </c>
      <c r="AG40" t="e">
        <f>AND(#REF!,"AAAAAHT/9yA=")</f>
        <v>#REF!</v>
      </c>
      <c r="AH40" t="e">
        <f>AND(#REF!,"AAAAAHT/9yE=")</f>
        <v>#REF!</v>
      </c>
      <c r="AI40" t="e">
        <f>AND(#REF!,"AAAAAHT/9yI=")</f>
        <v>#REF!</v>
      </c>
      <c r="AJ40" t="e">
        <f>IF(#REF!,"AAAAAHT/9yM=",0)</f>
        <v>#REF!</v>
      </c>
      <c r="AK40" t="e">
        <f>AND(#REF!,"AAAAAHT/9yQ=")</f>
        <v>#REF!</v>
      </c>
      <c r="AL40" t="e">
        <f>AND(#REF!,"AAAAAHT/9yU=")</f>
        <v>#REF!</v>
      </c>
      <c r="AM40" t="e">
        <f>AND(#REF!,"AAAAAHT/9yY=")</f>
        <v>#REF!</v>
      </c>
      <c r="AN40" t="e">
        <f>AND(#REF!,"AAAAAHT/9yc=")</f>
        <v>#REF!</v>
      </c>
      <c r="AO40" t="e">
        <f>AND(#REF!,"AAAAAHT/9yg=")</f>
        <v>#REF!</v>
      </c>
      <c r="AP40" t="e">
        <f>AND(#REF!,"AAAAAHT/9yk=")</f>
        <v>#REF!</v>
      </c>
      <c r="AQ40" t="e">
        <f>AND(#REF!,"AAAAAHT/9yo=")</f>
        <v>#REF!</v>
      </c>
      <c r="AR40" t="e">
        <f>AND(#REF!,"AAAAAHT/9ys=")</f>
        <v>#REF!</v>
      </c>
      <c r="AS40" t="e">
        <f>AND(#REF!,"AAAAAHT/9yw=")</f>
        <v>#REF!</v>
      </c>
      <c r="AT40" t="e">
        <f>AND(#REF!,"AAAAAHT/9y0=")</f>
        <v>#REF!</v>
      </c>
      <c r="AU40" t="e">
        <f>AND(#REF!,"AAAAAHT/9y4=")</f>
        <v>#REF!</v>
      </c>
      <c r="AV40" t="e">
        <f>AND(#REF!,"AAAAAHT/9y8=")</f>
        <v>#REF!</v>
      </c>
      <c r="AW40" t="e">
        <f>AND(#REF!,"AAAAAHT/9zA=")</f>
        <v>#REF!</v>
      </c>
      <c r="AX40" t="e">
        <f>AND(#REF!,"AAAAAHT/9zE=")</f>
        <v>#REF!</v>
      </c>
      <c r="AY40" t="e">
        <f>AND(#REF!,"AAAAAHT/9zI=")</f>
        <v>#REF!</v>
      </c>
      <c r="AZ40" t="e">
        <f>AND(#REF!,"AAAAAHT/9zM=")</f>
        <v>#REF!</v>
      </c>
      <c r="BA40" t="e">
        <f>AND(#REF!,"AAAAAHT/9zQ=")</f>
        <v>#REF!</v>
      </c>
      <c r="BB40" t="e">
        <f>AND(#REF!,"AAAAAHT/9zU=")</f>
        <v>#REF!</v>
      </c>
      <c r="BC40" t="e">
        <f>AND(#REF!,"AAAAAHT/9zY=")</f>
        <v>#REF!</v>
      </c>
      <c r="BD40" t="e">
        <f>AND(#REF!,"AAAAAHT/9zc=")</f>
        <v>#REF!</v>
      </c>
      <c r="BE40" t="e">
        <f>AND(#REF!,"AAAAAHT/9zg=")</f>
        <v>#REF!</v>
      </c>
      <c r="BF40" t="e">
        <f>AND(#REF!,"AAAAAHT/9zk=")</f>
        <v>#REF!</v>
      </c>
      <c r="BG40" t="e">
        <f>AND(#REF!,"AAAAAHT/9zo=")</f>
        <v>#REF!</v>
      </c>
      <c r="BH40" t="e">
        <f>AND(#REF!,"AAAAAHT/9zs=")</f>
        <v>#REF!</v>
      </c>
      <c r="BI40" t="e">
        <f>AND(#REF!,"AAAAAHT/9zw=")</f>
        <v>#REF!</v>
      </c>
      <c r="BJ40" t="e">
        <f>AND(#REF!,"AAAAAHT/9z0=")</f>
        <v>#REF!</v>
      </c>
      <c r="BK40" t="e">
        <f>AND(#REF!,"AAAAAHT/9z4=")</f>
        <v>#REF!</v>
      </c>
      <c r="BL40" t="e">
        <f>AND(#REF!,"AAAAAHT/9z8=")</f>
        <v>#REF!</v>
      </c>
      <c r="BM40" t="e">
        <f>AND(#REF!,"AAAAAHT/90A=")</f>
        <v>#REF!</v>
      </c>
      <c r="BN40" t="e">
        <f>AND(#REF!,"AAAAAHT/90E=")</f>
        <v>#REF!</v>
      </c>
      <c r="BO40" t="e">
        <f>AND(#REF!,"AAAAAHT/90I=")</f>
        <v>#REF!</v>
      </c>
      <c r="BP40" t="e">
        <f>AND(#REF!,"AAAAAHT/90M=")</f>
        <v>#REF!</v>
      </c>
      <c r="BQ40" t="e">
        <f>AND(#REF!,"AAAAAHT/90Q=")</f>
        <v>#REF!</v>
      </c>
      <c r="BR40" t="e">
        <f>AND(#REF!,"AAAAAHT/90U=")</f>
        <v>#REF!</v>
      </c>
      <c r="BS40" t="e">
        <f>AND(#REF!,"AAAAAHT/90Y=")</f>
        <v>#REF!</v>
      </c>
      <c r="BT40" t="e">
        <f>AND(#REF!,"AAAAAHT/90c=")</f>
        <v>#REF!</v>
      </c>
      <c r="BU40" t="e">
        <f>AND(#REF!,"AAAAAHT/90g=")</f>
        <v>#REF!</v>
      </c>
      <c r="BV40" t="e">
        <f>AND(#REF!,"AAAAAHT/90k=")</f>
        <v>#REF!</v>
      </c>
      <c r="BW40" t="e">
        <f>AND(#REF!,"AAAAAHT/90o=")</f>
        <v>#REF!</v>
      </c>
      <c r="BX40" t="e">
        <f>IF(#REF!,"AAAAAHT/90s=",0)</f>
        <v>#REF!</v>
      </c>
      <c r="BY40" t="e">
        <f>AND(#REF!,"AAAAAHT/90w=")</f>
        <v>#REF!</v>
      </c>
      <c r="BZ40" t="e">
        <f>AND(#REF!,"AAAAAHT/900=")</f>
        <v>#REF!</v>
      </c>
      <c r="CA40" t="e">
        <f>AND(#REF!,"AAAAAHT/904=")</f>
        <v>#REF!</v>
      </c>
      <c r="CB40" t="e">
        <f>AND(#REF!,"AAAAAHT/908=")</f>
        <v>#REF!</v>
      </c>
      <c r="CC40" t="e">
        <f>AND(#REF!,"AAAAAHT/91A=")</f>
        <v>#REF!</v>
      </c>
      <c r="CD40" t="e">
        <f>AND(#REF!,"AAAAAHT/91E=")</f>
        <v>#REF!</v>
      </c>
      <c r="CE40" t="e">
        <f>AND(#REF!,"AAAAAHT/91I=")</f>
        <v>#REF!</v>
      </c>
      <c r="CF40" t="e">
        <f>AND(#REF!,"AAAAAHT/91M=")</f>
        <v>#REF!</v>
      </c>
      <c r="CG40" t="e">
        <f>AND(#REF!,"AAAAAHT/91Q=")</f>
        <v>#REF!</v>
      </c>
      <c r="CH40" t="e">
        <f>AND(#REF!,"AAAAAHT/91U=")</f>
        <v>#REF!</v>
      </c>
      <c r="CI40" t="e">
        <f>AND(#REF!,"AAAAAHT/91Y=")</f>
        <v>#REF!</v>
      </c>
      <c r="CJ40" t="e">
        <f>AND(#REF!,"AAAAAHT/91c=")</f>
        <v>#REF!</v>
      </c>
      <c r="CK40" t="e">
        <f>AND(#REF!,"AAAAAHT/91g=")</f>
        <v>#REF!</v>
      </c>
      <c r="CL40" t="e">
        <f>AND(#REF!,"AAAAAHT/91k=")</f>
        <v>#REF!</v>
      </c>
      <c r="CM40" t="e">
        <f>AND(#REF!,"AAAAAHT/91o=")</f>
        <v>#REF!</v>
      </c>
      <c r="CN40" t="e">
        <f>AND(#REF!,"AAAAAHT/91s=")</f>
        <v>#REF!</v>
      </c>
      <c r="CO40" t="e">
        <f>AND(#REF!,"AAAAAHT/91w=")</f>
        <v>#REF!</v>
      </c>
      <c r="CP40" t="e">
        <f>AND(#REF!,"AAAAAHT/910=")</f>
        <v>#REF!</v>
      </c>
      <c r="CQ40" t="e">
        <f>AND(#REF!,"AAAAAHT/914=")</f>
        <v>#REF!</v>
      </c>
      <c r="CR40" t="e">
        <f>AND(#REF!,"AAAAAHT/918=")</f>
        <v>#REF!</v>
      </c>
      <c r="CS40" t="e">
        <f>AND(#REF!,"AAAAAHT/92A=")</f>
        <v>#REF!</v>
      </c>
      <c r="CT40" t="e">
        <f>AND(#REF!,"AAAAAHT/92E=")</f>
        <v>#REF!</v>
      </c>
      <c r="CU40" t="e">
        <f>AND(#REF!,"AAAAAHT/92I=")</f>
        <v>#REF!</v>
      </c>
      <c r="CV40" t="e">
        <f>AND(#REF!,"AAAAAHT/92M=")</f>
        <v>#REF!</v>
      </c>
      <c r="CW40" t="e">
        <f>AND(#REF!,"AAAAAHT/92Q=")</f>
        <v>#REF!</v>
      </c>
      <c r="CX40" t="e">
        <f>AND(#REF!,"AAAAAHT/92U=")</f>
        <v>#REF!</v>
      </c>
      <c r="CY40" t="e">
        <f>AND(#REF!,"AAAAAHT/92Y=")</f>
        <v>#REF!</v>
      </c>
      <c r="CZ40" t="e">
        <f>AND(#REF!,"AAAAAHT/92c=")</f>
        <v>#REF!</v>
      </c>
      <c r="DA40" t="e">
        <f>AND(#REF!,"AAAAAHT/92g=")</f>
        <v>#REF!</v>
      </c>
      <c r="DB40" t="e">
        <f>AND(#REF!,"AAAAAHT/92k=")</f>
        <v>#REF!</v>
      </c>
      <c r="DC40" t="e">
        <f>AND(#REF!,"AAAAAHT/92o=")</f>
        <v>#REF!</v>
      </c>
      <c r="DD40" t="e">
        <f>AND(#REF!,"AAAAAHT/92s=")</f>
        <v>#REF!</v>
      </c>
      <c r="DE40" t="e">
        <f>AND(#REF!,"AAAAAHT/92w=")</f>
        <v>#REF!</v>
      </c>
      <c r="DF40" t="e">
        <f>AND(#REF!,"AAAAAHT/920=")</f>
        <v>#REF!</v>
      </c>
      <c r="DG40" t="e">
        <f>AND(#REF!,"AAAAAHT/924=")</f>
        <v>#REF!</v>
      </c>
      <c r="DH40" t="e">
        <f>AND(#REF!,"AAAAAHT/928=")</f>
        <v>#REF!</v>
      </c>
      <c r="DI40" t="e">
        <f>AND(#REF!,"AAAAAHT/93A=")</f>
        <v>#REF!</v>
      </c>
      <c r="DJ40" t="e">
        <f>AND(#REF!,"AAAAAHT/93E=")</f>
        <v>#REF!</v>
      </c>
      <c r="DK40" t="e">
        <f>AND(#REF!,"AAAAAHT/93I=")</f>
        <v>#REF!</v>
      </c>
      <c r="DL40" t="e">
        <f>IF(#REF!,"AAAAAHT/93M=",0)</f>
        <v>#REF!</v>
      </c>
      <c r="DM40" t="e">
        <f>AND(#REF!,"AAAAAHT/93Q=")</f>
        <v>#REF!</v>
      </c>
      <c r="DN40" t="e">
        <f>AND(#REF!,"AAAAAHT/93U=")</f>
        <v>#REF!</v>
      </c>
      <c r="DO40" t="e">
        <f>AND(#REF!,"AAAAAHT/93Y=")</f>
        <v>#REF!</v>
      </c>
      <c r="DP40" t="e">
        <f>AND(#REF!,"AAAAAHT/93c=")</f>
        <v>#REF!</v>
      </c>
      <c r="DQ40" t="e">
        <f>AND(#REF!,"AAAAAHT/93g=")</f>
        <v>#REF!</v>
      </c>
      <c r="DR40" t="e">
        <f>AND(#REF!,"AAAAAHT/93k=")</f>
        <v>#REF!</v>
      </c>
      <c r="DS40" t="e">
        <f>AND(#REF!,"AAAAAHT/93o=")</f>
        <v>#REF!</v>
      </c>
      <c r="DT40" t="e">
        <f>AND(#REF!,"AAAAAHT/93s=")</f>
        <v>#REF!</v>
      </c>
      <c r="DU40" t="e">
        <f>AND(#REF!,"AAAAAHT/93w=")</f>
        <v>#REF!</v>
      </c>
      <c r="DV40" t="e">
        <f>AND(#REF!,"AAAAAHT/930=")</f>
        <v>#REF!</v>
      </c>
      <c r="DW40" t="e">
        <f>AND(#REF!,"AAAAAHT/934=")</f>
        <v>#REF!</v>
      </c>
      <c r="DX40" t="e">
        <f>AND(#REF!,"AAAAAHT/938=")</f>
        <v>#REF!</v>
      </c>
      <c r="DY40" t="e">
        <f>AND(#REF!,"AAAAAHT/94A=")</f>
        <v>#REF!</v>
      </c>
      <c r="DZ40" t="e">
        <f>AND(#REF!,"AAAAAHT/94E=")</f>
        <v>#REF!</v>
      </c>
      <c r="EA40" t="e">
        <f>AND(#REF!,"AAAAAHT/94I=")</f>
        <v>#REF!</v>
      </c>
      <c r="EB40" t="e">
        <f>AND(#REF!,"AAAAAHT/94M=")</f>
        <v>#REF!</v>
      </c>
      <c r="EC40" t="e">
        <f>AND(#REF!,"AAAAAHT/94Q=")</f>
        <v>#REF!</v>
      </c>
      <c r="ED40" t="e">
        <f>AND(#REF!,"AAAAAHT/94U=")</f>
        <v>#REF!</v>
      </c>
      <c r="EE40" t="e">
        <f>AND(#REF!,"AAAAAHT/94Y=")</f>
        <v>#REF!</v>
      </c>
      <c r="EF40" t="e">
        <f>AND(#REF!,"AAAAAHT/94c=")</f>
        <v>#REF!</v>
      </c>
      <c r="EG40" t="e">
        <f>AND(#REF!,"AAAAAHT/94g=")</f>
        <v>#REF!</v>
      </c>
      <c r="EH40" t="e">
        <f>AND(#REF!,"AAAAAHT/94k=")</f>
        <v>#REF!</v>
      </c>
      <c r="EI40" t="e">
        <f>AND(#REF!,"AAAAAHT/94o=")</f>
        <v>#REF!</v>
      </c>
      <c r="EJ40" t="e">
        <f>AND(#REF!,"AAAAAHT/94s=")</f>
        <v>#REF!</v>
      </c>
      <c r="EK40" t="e">
        <f>AND(#REF!,"AAAAAHT/94w=")</f>
        <v>#REF!</v>
      </c>
      <c r="EL40" t="e">
        <f>AND(#REF!,"AAAAAHT/940=")</f>
        <v>#REF!</v>
      </c>
      <c r="EM40" t="e">
        <f>AND(#REF!,"AAAAAHT/944=")</f>
        <v>#REF!</v>
      </c>
      <c r="EN40" t="e">
        <f>AND(#REF!,"AAAAAHT/948=")</f>
        <v>#REF!</v>
      </c>
      <c r="EO40" t="e">
        <f>AND(#REF!,"AAAAAHT/95A=")</f>
        <v>#REF!</v>
      </c>
      <c r="EP40" t="e">
        <f>AND(#REF!,"AAAAAHT/95E=")</f>
        <v>#REF!</v>
      </c>
      <c r="EQ40" t="e">
        <f>AND(#REF!,"AAAAAHT/95I=")</f>
        <v>#REF!</v>
      </c>
      <c r="ER40" t="e">
        <f>AND(#REF!,"AAAAAHT/95M=")</f>
        <v>#REF!</v>
      </c>
      <c r="ES40" t="e">
        <f>AND(#REF!,"AAAAAHT/95Q=")</f>
        <v>#REF!</v>
      </c>
      <c r="ET40" t="e">
        <f>AND(#REF!,"AAAAAHT/95U=")</f>
        <v>#REF!</v>
      </c>
      <c r="EU40" t="e">
        <f>AND(#REF!,"AAAAAHT/95Y=")</f>
        <v>#REF!</v>
      </c>
      <c r="EV40" t="e">
        <f>AND(#REF!,"AAAAAHT/95c=")</f>
        <v>#REF!</v>
      </c>
      <c r="EW40" t="e">
        <f>AND(#REF!,"AAAAAHT/95g=")</f>
        <v>#REF!</v>
      </c>
      <c r="EX40" t="e">
        <f>AND(#REF!,"AAAAAHT/95k=")</f>
        <v>#REF!</v>
      </c>
      <c r="EY40" t="e">
        <f>AND(#REF!,"AAAAAHT/95o=")</f>
        <v>#REF!</v>
      </c>
      <c r="EZ40" t="e">
        <f>IF(#REF!,"AAAAAHT/95s=",0)</f>
        <v>#REF!</v>
      </c>
      <c r="FA40" t="e">
        <f>AND(#REF!,"AAAAAHT/95w=")</f>
        <v>#REF!</v>
      </c>
      <c r="FB40" t="e">
        <f>AND(#REF!,"AAAAAHT/950=")</f>
        <v>#REF!</v>
      </c>
      <c r="FC40" t="e">
        <f>AND(#REF!,"AAAAAHT/954=")</f>
        <v>#REF!</v>
      </c>
      <c r="FD40" t="e">
        <f>AND(#REF!,"AAAAAHT/958=")</f>
        <v>#REF!</v>
      </c>
      <c r="FE40" t="e">
        <f>AND(#REF!,"AAAAAHT/96A=")</f>
        <v>#REF!</v>
      </c>
      <c r="FF40" t="e">
        <f>AND(#REF!,"AAAAAHT/96E=")</f>
        <v>#REF!</v>
      </c>
      <c r="FG40" t="e">
        <f>AND(#REF!,"AAAAAHT/96I=")</f>
        <v>#REF!</v>
      </c>
      <c r="FH40" t="e">
        <f>AND(#REF!,"AAAAAHT/96M=")</f>
        <v>#REF!</v>
      </c>
      <c r="FI40" t="e">
        <f>AND(#REF!,"AAAAAHT/96Q=")</f>
        <v>#REF!</v>
      </c>
      <c r="FJ40" t="e">
        <f>AND(#REF!,"AAAAAHT/96U=")</f>
        <v>#REF!</v>
      </c>
      <c r="FK40" t="e">
        <f>AND(#REF!,"AAAAAHT/96Y=")</f>
        <v>#REF!</v>
      </c>
      <c r="FL40" t="e">
        <f>AND(#REF!,"AAAAAHT/96c=")</f>
        <v>#REF!</v>
      </c>
      <c r="FM40" t="e">
        <f>AND(#REF!,"AAAAAHT/96g=")</f>
        <v>#REF!</v>
      </c>
      <c r="FN40" t="e">
        <f>AND(#REF!,"AAAAAHT/96k=")</f>
        <v>#REF!</v>
      </c>
      <c r="FO40" t="e">
        <f>AND(#REF!,"AAAAAHT/96o=")</f>
        <v>#REF!</v>
      </c>
      <c r="FP40" t="e">
        <f>AND(#REF!,"AAAAAHT/96s=")</f>
        <v>#REF!</v>
      </c>
      <c r="FQ40" t="e">
        <f>AND(#REF!,"AAAAAHT/96w=")</f>
        <v>#REF!</v>
      </c>
      <c r="FR40" t="e">
        <f>AND(#REF!,"AAAAAHT/960=")</f>
        <v>#REF!</v>
      </c>
      <c r="FS40" t="e">
        <f>AND(#REF!,"AAAAAHT/964=")</f>
        <v>#REF!</v>
      </c>
      <c r="FT40" t="e">
        <f>AND(#REF!,"AAAAAHT/968=")</f>
        <v>#REF!</v>
      </c>
      <c r="FU40" t="e">
        <f>AND(#REF!,"AAAAAHT/97A=")</f>
        <v>#REF!</v>
      </c>
      <c r="FV40" t="e">
        <f>AND(#REF!,"AAAAAHT/97E=")</f>
        <v>#REF!</v>
      </c>
      <c r="FW40" t="e">
        <f>AND(#REF!,"AAAAAHT/97I=")</f>
        <v>#REF!</v>
      </c>
      <c r="FX40" t="e">
        <f>AND(#REF!,"AAAAAHT/97M=")</f>
        <v>#REF!</v>
      </c>
      <c r="FY40" t="e">
        <f>AND(#REF!,"AAAAAHT/97Q=")</f>
        <v>#REF!</v>
      </c>
      <c r="FZ40" t="e">
        <f>AND(#REF!,"AAAAAHT/97U=")</f>
        <v>#REF!</v>
      </c>
      <c r="GA40" t="e">
        <f>AND(#REF!,"AAAAAHT/97Y=")</f>
        <v>#REF!</v>
      </c>
      <c r="GB40" t="e">
        <f>AND(#REF!,"AAAAAHT/97c=")</f>
        <v>#REF!</v>
      </c>
      <c r="GC40" t="e">
        <f>AND(#REF!,"AAAAAHT/97g=")</f>
        <v>#REF!</v>
      </c>
      <c r="GD40" t="e">
        <f>AND(#REF!,"AAAAAHT/97k=")</f>
        <v>#REF!</v>
      </c>
      <c r="GE40" t="e">
        <f>AND(#REF!,"AAAAAHT/97o=")</f>
        <v>#REF!</v>
      </c>
      <c r="GF40" t="e">
        <f>AND(#REF!,"AAAAAHT/97s=")</f>
        <v>#REF!</v>
      </c>
      <c r="GG40" t="e">
        <f>AND(#REF!,"AAAAAHT/97w=")</f>
        <v>#REF!</v>
      </c>
      <c r="GH40" t="e">
        <f>AND(#REF!,"AAAAAHT/970=")</f>
        <v>#REF!</v>
      </c>
      <c r="GI40" t="e">
        <f>AND(#REF!,"AAAAAHT/974=")</f>
        <v>#REF!</v>
      </c>
      <c r="GJ40" t="e">
        <f>AND(#REF!,"AAAAAHT/978=")</f>
        <v>#REF!</v>
      </c>
      <c r="GK40" t="e">
        <f>AND(#REF!,"AAAAAHT/98A=")</f>
        <v>#REF!</v>
      </c>
      <c r="GL40" t="e">
        <f>AND(#REF!,"AAAAAHT/98E=")</f>
        <v>#REF!</v>
      </c>
      <c r="GM40" t="e">
        <f>AND(#REF!,"AAAAAHT/98I=")</f>
        <v>#REF!</v>
      </c>
      <c r="GN40" t="e">
        <f>IF(#REF!,"AAAAAHT/98M=",0)</f>
        <v>#REF!</v>
      </c>
      <c r="GO40" t="e">
        <f>AND(#REF!,"AAAAAHT/98Q=")</f>
        <v>#REF!</v>
      </c>
      <c r="GP40" t="e">
        <f>AND(#REF!,"AAAAAHT/98U=")</f>
        <v>#REF!</v>
      </c>
      <c r="GQ40" t="e">
        <f>AND(#REF!,"AAAAAHT/98Y=")</f>
        <v>#REF!</v>
      </c>
      <c r="GR40" t="e">
        <f>AND(#REF!,"AAAAAHT/98c=")</f>
        <v>#REF!</v>
      </c>
      <c r="GS40" t="e">
        <f>AND(#REF!,"AAAAAHT/98g=")</f>
        <v>#REF!</v>
      </c>
      <c r="GT40" t="e">
        <f>AND(#REF!,"AAAAAHT/98k=")</f>
        <v>#REF!</v>
      </c>
      <c r="GU40" t="e">
        <f>AND(#REF!,"AAAAAHT/98o=")</f>
        <v>#REF!</v>
      </c>
      <c r="GV40" t="e">
        <f>AND(#REF!,"AAAAAHT/98s=")</f>
        <v>#REF!</v>
      </c>
      <c r="GW40" t="e">
        <f>AND(#REF!,"AAAAAHT/98w=")</f>
        <v>#REF!</v>
      </c>
      <c r="GX40" t="e">
        <f>AND(#REF!,"AAAAAHT/980=")</f>
        <v>#REF!</v>
      </c>
      <c r="GY40" t="e">
        <f>AND(#REF!,"AAAAAHT/984=")</f>
        <v>#REF!</v>
      </c>
      <c r="GZ40" t="e">
        <f>AND(#REF!,"AAAAAHT/988=")</f>
        <v>#REF!</v>
      </c>
      <c r="HA40" t="e">
        <f>AND(#REF!,"AAAAAHT/99A=")</f>
        <v>#REF!</v>
      </c>
      <c r="HB40" t="e">
        <f>AND(#REF!,"AAAAAHT/99E=")</f>
        <v>#REF!</v>
      </c>
      <c r="HC40" t="e">
        <f>AND(#REF!,"AAAAAHT/99I=")</f>
        <v>#REF!</v>
      </c>
      <c r="HD40" t="e">
        <f>AND(#REF!,"AAAAAHT/99M=")</f>
        <v>#REF!</v>
      </c>
      <c r="HE40" t="e">
        <f>AND(#REF!,"AAAAAHT/99Q=")</f>
        <v>#REF!</v>
      </c>
      <c r="HF40" t="e">
        <f>AND(#REF!,"AAAAAHT/99U=")</f>
        <v>#REF!</v>
      </c>
      <c r="HG40" t="e">
        <f>AND(#REF!,"AAAAAHT/99Y=")</f>
        <v>#REF!</v>
      </c>
      <c r="HH40" t="e">
        <f>AND(#REF!,"AAAAAHT/99c=")</f>
        <v>#REF!</v>
      </c>
      <c r="HI40" t="e">
        <f>AND(#REF!,"AAAAAHT/99g=")</f>
        <v>#REF!</v>
      </c>
      <c r="HJ40" t="e">
        <f>AND(#REF!,"AAAAAHT/99k=")</f>
        <v>#REF!</v>
      </c>
      <c r="HK40" t="e">
        <f>AND(#REF!,"AAAAAHT/99o=")</f>
        <v>#REF!</v>
      </c>
      <c r="HL40" t="e">
        <f>AND(#REF!,"AAAAAHT/99s=")</f>
        <v>#REF!</v>
      </c>
      <c r="HM40" t="e">
        <f>AND(#REF!,"AAAAAHT/99w=")</f>
        <v>#REF!</v>
      </c>
      <c r="HN40" t="e">
        <f>AND(#REF!,"AAAAAHT/990=")</f>
        <v>#REF!</v>
      </c>
      <c r="HO40" t="e">
        <f>AND(#REF!,"AAAAAHT/994=")</f>
        <v>#REF!</v>
      </c>
      <c r="HP40" t="e">
        <f>AND(#REF!,"AAAAAHT/998=")</f>
        <v>#REF!</v>
      </c>
      <c r="HQ40" t="e">
        <f>AND(#REF!,"AAAAAHT/9+A=")</f>
        <v>#REF!</v>
      </c>
      <c r="HR40" t="e">
        <f>AND(#REF!,"AAAAAHT/9+E=")</f>
        <v>#REF!</v>
      </c>
      <c r="HS40" t="e">
        <f>AND(#REF!,"AAAAAHT/9+I=")</f>
        <v>#REF!</v>
      </c>
      <c r="HT40" t="e">
        <f>AND(#REF!,"AAAAAHT/9+M=")</f>
        <v>#REF!</v>
      </c>
      <c r="HU40" t="e">
        <f>AND(#REF!,"AAAAAHT/9+Q=")</f>
        <v>#REF!</v>
      </c>
      <c r="HV40" t="e">
        <f>AND(#REF!,"AAAAAHT/9+U=")</f>
        <v>#REF!</v>
      </c>
      <c r="HW40" t="e">
        <f>AND(#REF!,"AAAAAHT/9+Y=")</f>
        <v>#REF!</v>
      </c>
      <c r="HX40" t="e">
        <f>AND(#REF!,"AAAAAHT/9+c=")</f>
        <v>#REF!</v>
      </c>
      <c r="HY40" t="e">
        <f>AND(#REF!,"AAAAAHT/9+g=")</f>
        <v>#REF!</v>
      </c>
      <c r="HZ40" t="e">
        <f>AND(#REF!,"AAAAAHT/9+k=")</f>
        <v>#REF!</v>
      </c>
      <c r="IA40" t="e">
        <f>AND(#REF!,"AAAAAHT/9+o=")</f>
        <v>#REF!</v>
      </c>
      <c r="IB40" t="e">
        <f>IF(#REF!,"AAAAAHT/9+s=",0)</f>
        <v>#REF!</v>
      </c>
      <c r="IC40" t="e">
        <f>AND(#REF!,"AAAAAHT/9+w=")</f>
        <v>#REF!</v>
      </c>
      <c r="ID40" t="e">
        <f>AND(#REF!,"AAAAAHT/9+0=")</f>
        <v>#REF!</v>
      </c>
      <c r="IE40" t="e">
        <f>AND(#REF!,"AAAAAHT/9+4=")</f>
        <v>#REF!</v>
      </c>
      <c r="IF40" t="e">
        <f>AND(#REF!,"AAAAAHT/9+8=")</f>
        <v>#REF!</v>
      </c>
      <c r="IG40" t="e">
        <f>AND(#REF!,"AAAAAHT/9/A=")</f>
        <v>#REF!</v>
      </c>
      <c r="IH40" t="e">
        <f>AND(#REF!,"AAAAAHT/9/E=")</f>
        <v>#REF!</v>
      </c>
      <c r="II40" t="e">
        <f>AND(#REF!,"AAAAAHT/9/I=")</f>
        <v>#REF!</v>
      </c>
      <c r="IJ40" t="e">
        <f>AND(#REF!,"AAAAAHT/9/M=")</f>
        <v>#REF!</v>
      </c>
      <c r="IK40" t="e">
        <f>AND(#REF!,"AAAAAHT/9/Q=")</f>
        <v>#REF!</v>
      </c>
      <c r="IL40" t="e">
        <f>AND(#REF!,"AAAAAHT/9/U=")</f>
        <v>#REF!</v>
      </c>
      <c r="IM40" t="e">
        <f>AND(#REF!,"AAAAAHT/9/Y=")</f>
        <v>#REF!</v>
      </c>
      <c r="IN40" t="e">
        <f>AND(#REF!,"AAAAAHT/9/c=")</f>
        <v>#REF!</v>
      </c>
      <c r="IO40" t="e">
        <f>AND(#REF!,"AAAAAHT/9/g=")</f>
        <v>#REF!</v>
      </c>
      <c r="IP40" t="e">
        <f>AND(#REF!,"AAAAAHT/9/k=")</f>
        <v>#REF!</v>
      </c>
      <c r="IQ40" t="e">
        <f>AND(#REF!,"AAAAAHT/9/o=")</f>
        <v>#REF!</v>
      </c>
      <c r="IR40" t="e">
        <f>AND(#REF!,"AAAAAHT/9/s=")</f>
        <v>#REF!</v>
      </c>
      <c r="IS40" t="e">
        <f>AND(#REF!,"AAAAAHT/9/w=")</f>
        <v>#REF!</v>
      </c>
      <c r="IT40" t="e">
        <f>AND(#REF!,"AAAAAHT/9/0=")</f>
        <v>#REF!</v>
      </c>
      <c r="IU40" t="e">
        <f>AND(#REF!,"AAAAAHT/9/4=")</f>
        <v>#REF!</v>
      </c>
      <c r="IV40" t="e">
        <f>AND(#REF!,"AAAAAHT/9/8=")</f>
        <v>#REF!</v>
      </c>
    </row>
    <row r="41" spans="1:256" x14ac:dyDescent="0.35">
      <c r="A41" t="e">
        <f>AND(#REF!,"AAAAAHdv/QA=")</f>
        <v>#REF!</v>
      </c>
      <c r="B41" t="e">
        <f>AND(#REF!,"AAAAAHdv/QE=")</f>
        <v>#REF!</v>
      </c>
      <c r="C41" t="e">
        <f>AND(#REF!,"AAAAAHdv/QI=")</f>
        <v>#REF!</v>
      </c>
      <c r="D41" t="e">
        <f>AND(#REF!,"AAAAAHdv/QM=")</f>
        <v>#REF!</v>
      </c>
      <c r="E41" t="e">
        <f>AND(#REF!,"AAAAAHdv/QQ=")</f>
        <v>#REF!</v>
      </c>
      <c r="F41" t="e">
        <f>AND(#REF!,"AAAAAHdv/QU=")</f>
        <v>#REF!</v>
      </c>
      <c r="G41" t="e">
        <f>AND(#REF!,"AAAAAHdv/QY=")</f>
        <v>#REF!</v>
      </c>
      <c r="H41" t="e">
        <f>AND(#REF!,"AAAAAHdv/Qc=")</f>
        <v>#REF!</v>
      </c>
      <c r="I41" t="e">
        <f>AND(#REF!,"AAAAAHdv/Qg=")</f>
        <v>#REF!</v>
      </c>
      <c r="J41" t="e">
        <f>AND(#REF!,"AAAAAHdv/Qk=")</f>
        <v>#REF!</v>
      </c>
      <c r="K41" t="e">
        <f>AND(#REF!,"AAAAAHdv/Qo=")</f>
        <v>#REF!</v>
      </c>
      <c r="L41" t="e">
        <f>AND(#REF!,"AAAAAHdv/Qs=")</f>
        <v>#REF!</v>
      </c>
      <c r="M41" t="e">
        <f>AND(#REF!,"AAAAAHdv/Qw=")</f>
        <v>#REF!</v>
      </c>
      <c r="N41" t="e">
        <f>AND(#REF!,"AAAAAHdv/Q0=")</f>
        <v>#REF!</v>
      </c>
      <c r="O41" t="e">
        <f>AND(#REF!,"AAAAAHdv/Q4=")</f>
        <v>#REF!</v>
      </c>
      <c r="P41" t="e">
        <f>AND(#REF!,"AAAAAHdv/Q8=")</f>
        <v>#REF!</v>
      </c>
      <c r="Q41" t="e">
        <f>AND(#REF!,"AAAAAHdv/RA=")</f>
        <v>#REF!</v>
      </c>
      <c r="R41" t="e">
        <f>AND(#REF!,"AAAAAHdv/RE=")</f>
        <v>#REF!</v>
      </c>
      <c r="S41" t="e">
        <f>AND(#REF!,"AAAAAHdv/RI=")</f>
        <v>#REF!</v>
      </c>
      <c r="T41" t="e">
        <f>IF(#REF!,"AAAAAHdv/RM=",0)</f>
        <v>#REF!</v>
      </c>
      <c r="U41" t="e">
        <f>AND(#REF!,"AAAAAHdv/RQ=")</f>
        <v>#REF!</v>
      </c>
      <c r="V41" t="e">
        <f>AND(#REF!,"AAAAAHdv/RU=")</f>
        <v>#REF!</v>
      </c>
      <c r="W41" t="e">
        <f>AND(#REF!,"AAAAAHdv/RY=")</f>
        <v>#REF!</v>
      </c>
      <c r="X41" t="e">
        <f>AND(#REF!,"AAAAAHdv/Rc=")</f>
        <v>#REF!</v>
      </c>
      <c r="Y41" t="e">
        <f>AND(#REF!,"AAAAAHdv/Rg=")</f>
        <v>#REF!</v>
      </c>
      <c r="Z41" t="e">
        <f>AND(#REF!,"AAAAAHdv/Rk=")</f>
        <v>#REF!</v>
      </c>
      <c r="AA41" t="e">
        <f>AND(#REF!,"AAAAAHdv/Ro=")</f>
        <v>#REF!</v>
      </c>
      <c r="AB41" t="e">
        <f>AND(#REF!,"AAAAAHdv/Rs=")</f>
        <v>#REF!</v>
      </c>
      <c r="AC41" t="e">
        <f>AND(#REF!,"AAAAAHdv/Rw=")</f>
        <v>#REF!</v>
      </c>
      <c r="AD41" t="e">
        <f>AND(#REF!,"AAAAAHdv/R0=")</f>
        <v>#REF!</v>
      </c>
      <c r="AE41" t="e">
        <f>AND(#REF!,"AAAAAHdv/R4=")</f>
        <v>#REF!</v>
      </c>
      <c r="AF41" t="e">
        <f>AND(#REF!,"AAAAAHdv/R8=")</f>
        <v>#REF!</v>
      </c>
      <c r="AG41" t="e">
        <f>AND(#REF!,"AAAAAHdv/SA=")</f>
        <v>#REF!</v>
      </c>
      <c r="AH41" t="e">
        <f>AND(#REF!,"AAAAAHdv/SE=")</f>
        <v>#REF!</v>
      </c>
      <c r="AI41" t="e">
        <f>AND(#REF!,"AAAAAHdv/SI=")</f>
        <v>#REF!</v>
      </c>
      <c r="AJ41" t="e">
        <f>AND(#REF!,"AAAAAHdv/SM=")</f>
        <v>#REF!</v>
      </c>
      <c r="AK41" t="e">
        <f>AND(#REF!,"AAAAAHdv/SQ=")</f>
        <v>#REF!</v>
      </c>
      <c r="AL41" t="e">
        <f>AND(#REF!,"AAAAAHdv/SU=")</f>
        <v>#REF!</v>
      </c>
      <c r="AM41" t="e">
        <f>AND(#REF!,"AAAAAHdv/SY=")</f>
        <v>#REF!</v>
      </c>
      <c r="AN41" t="e">
        <f>AND(#REF!,"AAAAAHdv/Sc=")</f>
        <v>#REF!</v>
      </c>
      <c r="AO41" t="e">
        <f>AND(#REF!,"AAAAAHdv/Sg=")</f>
        <v>#REF!</v>
      </c>
      <c r="AP41" t="e">
        <f>AND(#REF!,"AAAAAHdv/Sk=")</f>
        <v>#REF!</v>
      </c>
      <c r="AQ41" t="e">
        <f>AND(#REF!,"AAAAAHdv/So=")</f>
        <v>#REF!</v>
      </c>
      <c r="AR41" t="e">
        <f>AND(#REF!,"AAAAAHdv/Ss=")</f>
        <v>#REF!</v>
      </c>
      <c r="AS41" t="e">
        <f>AND(#REF!,"AAAAAHdv/Sw=")</f>
        <v>#REF!</v>
      </c>
      <c r="AT41" t="e">
        <f>AND(#REF!,"AAAAAHdv/S0=")</f>
        <v>#REF!</v>
      </c>
      <c r="AU41" t="e">
        <f>AND(#REF!,"AAAAAHdv/S4=")</f>
        <v>#REF!</v>
      </c>
      <c r="AV41" t="e">
        <f>AND(#REF!,"AAAAAHdv/S8=")</f>
        <v>#REF!</v>
      </c>
      <c r="AW41" t="e">
        <f>AND(#REF!,"AAAAAHdv/TA=")</f>
        <v>#REF!</v>
      </c>
      <c r="AX41" t="e">
        <f>AND(#REF!,"AAAAAHdv/TE=")</f>
        <v>#REF!</v>
      </c>
      <c r="AY41" t="e">
        <f>AND(#REF!,"AAAAAHdv/TI=")</f>
        <v>#REF!</v>
      </c>
      <c r="AZ41" t="e">
        <f>AND(#REF!,"AAAAAHdv/TM=")</f>
        <v>#REF!</v>
      </c>
      <c r="BA41" t="e">
        <f>AND(#REF!,"AAAAAHdv/TQ=")</f>
        <v>#REF!</v>
      </c>
      <c r="BB41" t="e">
        <f>AND(#REF!,"AAAAAHdv/TU=")</f>
        <v>#REF!</v>
      </c>
      <c r="BC41" t="e">
        <f>AND(#REF!,"AAAAAHdv/TY=")</f>
        <v>#REF!</v>
      </c>
      <c r="BD41" t="e">
        <f>AND(#REF!,"AAAAAHdv/Tc=")</f>
        <v>#REF!</v>
      </c>
      <c r="BE41" t="e">
        <f>AND(#REF!,"AAAAAHdv/Tg=")</f>
        <v>#REF!</v>
      </c>
      <c r="BF41" t="e">
        <f>AND(#REF!,"AAAAAHdv/Tk=")</f>
        <v>#REF!</v>
      </c>
      <c r="BG41" t="e">
        <f>AND(#REF!,"AAAAAHdv/To=")</f>
        <v>#REF!</v>
      </c>
      <c r="BH41" t="e">
        <f>IF(#REF!,"AAAAAHdv/Ts=",0)</f>
        <v>#REF!</v>
      </c>
      <c r="BI41" t="e">
        <f>AND(#REF!,"AAAAAHdv/Tw=")</f>
        <v>#REF!</v>
      </c>
      <c r="BJ41" t="e">
        <f>AND(#REF!,"AAAAAHdv/T0=")</f>
        <v>#REF!</v>
      </c>
      <c r="BK41" t="e">
        <f>AND(#REF!,"AAAAAHdv/T4=")</f>
        <v>#REF!</v>
      </c>
      <c r="BL41" t="e">
        <f>AND(#REF!,"AAAAAHdv/T8=")</f>
        <v>#REF!</v>
      </c>
      <c r="BM41" t="e">
        <f>AND(#REF!,"AAAAAHdv/UA=")</f>
        <v>#REF!</v>
      </c>
      <c r="BN41" t="e">
        <f>AND(#REF!,"AAAAAHdv/UE=")</f>
        <v>#REF!</v>
      </c>
      <c r="BO41" t="e">
        <f>AND(#REF!,"AAAAAHdv/UI=")</f>
        <v>#REF!</v>
      </c>
      <c r="BP41" t="e">
        <f>AND(#REF!,"AAAAAHdv/UM=")</f>
        <v>#REF!</v>
      </c>
      <c r="BQ41" t="e">
        <f>AND(#REF!,"AAAAAHdv/UQ=")</f>
        <v>#REF!</v>
      </c>
      <c r="BR41" t="e">
        <f>AND(#REF!,"AAAAAHdv/UU=")</f>
        <v>#REF!</v>
      </c>
      <c r="BS41" t="e">
        <f>AND(#REF!,"AAAAAHdv/UY=")</f>
        <v>#REF!</v>
      </c>
      <c r="BT41" t="e">
        <f>AND(#REF!,"AAAAAHdv/Uc=")</f>
        <v>#REF!</v>
      </c>
      <c r="BU41" t="e">
        <f>AND(#REF!,"AAAAAHdv/Ug=")</f>
        <v>#REF!</v>
      </c>
      <c r="BV41" t="e">
        <f>AND(#REF!,"AAAAAHdv/Uk=")</f>
        <v>#REF!</v>
      </c>
      <c r="BW41" t="e">
        <f>AND(#REF!,"AAAAAHdv/Uo=")</f>
        <v>#REF!</v>
      </c>
      <c r="BX41" t="e">
        <f>AND(#REF!,"AAAAAHdv/Us=")</f>
        <v>#REF!</v>
      </c>
      <c r="BY41" t="e">
        <f>AND(#REF!,"AAAAAHdv/Uw=")</f>
        <v>#REF!</v>
      </c>
      <c r="BZ41" t="e">
        <f>AND(#REF!,"AAAAAHdv/U0=")</f>
        <v>#REF!</v>
      </c>
      <c r="CA41" t="e">
        <f>AND(#REF!,"AAAAAHdv/U4=")</f>
        <v>#REF!</v>
      </c>
      <c r="CB41" t="e">
        <f>AND(#REF!,"AAAAAHdv/U8=")</f>
        <v>#REF!</v>
      </c>
      <c r="CC41" t="e">
        <f>AND(#REF!,"AAAAAHdv/VA=")</f>
        <v>#REF!</v>
      </c>
      <c r="CD41" t="e">
        <f>AND(#REF!,"AAAAAHdv/VE=")</f>
        <v>#REF!</v>
      </c>
      <c r="CE41" t="e">
        <f>AND(#REF!,"AAAAAHdv/VI=")</f>
        <v>#REF!</v>
      </c>
      <c r="CF41" t="e">
        <f>AND(#REF!,"AAAAAHdv/VM=")</f>
        <v>#REF!</v>
      </c>
      <c r="CG41" t="e">
        <f>AND(#REF!,"AAAAAHdv/VQ=")</f>
        <v>#REF!</v>
      </c>
      <c r="CH41" t="e">
        <f>AND(#REF!,"AAAAAHdv/VU=")</f>
        <v>#REF!</v>
      </c>
      <c r="CI41" t="e">
        <f>AND(#REF!,"AAAAAHdv/VY=")</f>
        <v>#REF!</v>
      </c>
      <c r="CJ41" t="e">
        <f>AND(#REF!,"AAAAAHdv/Vc=")</f>
        <v>#REF!</v>
      </c>
      <c r="CK41" t="e">
        <f>AND(#REF!,"AAAAAHdv/Vg=")</f>
        <v>#REF!</v>
      </c>
      <c r="CL41" t="e">
        <f>AND(#REF!,"AAAAAHdv/Vk=")</f>
        <v>#REF!</v>
      </c>
      <c r="CM41" t="e">
        <f>AND(#REF!,"AAAAAHdv/Vo=")</f>
        <v>#REF!</v>
      </c>
      <c r="CN41" t="e">
        <f>AND(#REF!,"AAAAAHdv/Vs=")</f>
        <v>#REF!</v>
      </c>
      <c r="CO41" t="e">
        <f>AND(#REF!,"AAAAAHdv/Vw=")</f>
        <v>#REF!</v>
      </c>
      <c r="CP41" t="e">
        <f>AND(#REF!,"AAAAAHdv/V0=")</f>
        <v>#REF!</v>
      </c>
      <c r="CQ41" t="e">
        <f>AND(#REF!,"AAAAAHdv/V4=")</f>
        <v>#REF!</v>
      </c>
      <c r="CR41" t="e">
        <f>AND(#REF!,"AAAAAHdv/V8=")</f>
        <v>#REF!</v>
      </c>
      <c r="CS41" t="e">
        <f>AND(#REF!,"AAAAAHdv/WA=")</f>
        <v>#REF!</v>
      </c>
      <c r="CT41" t="e">
        <f>AND(#REF!,"AAAAAHdv/WE=")</f>
        <v>#REF!</v>
      </c>
      <c r="CU41" t="e">
        <f>AND(#REF!,"AAAAAHdv/WI=")</f>
        <v>#REF!</v>
      </c>
      <c r="CV41" t="e">
        <f>IF(#REF!,"AAAAAHdv/WM=",0)</f>
        <v>#REF!</v>
      </c>
      <c r="CW41" t="e">
        <f>AND(#REF!,"AAAAAHdv/WQ=")</f>
        <v>#REF!</v>
      </c>
      <c r="CX41" t="e">
        <f>AND(#REF!,"AAAAAHdv/WU=")</f>
        <v>#REF!</v>
      </c>
      <c r="CY41" t="e">
        <f>AND(#REF!,"AAAAAHdv/WY=")</f>
        <v>#REF!</v>
      </c>
      <c r="CZ41" t="e">
        <f>AND(#REF!,"AAAAAHdv/Wc=")</f>
        <v>#REF!</v>
      </c>
      <c r="DA41" t="e">
        <f>AND(#REF!,"AAAAAHdv/Wg=")</f>
        <v>#REF!</v>
      </c>
      <c r="DB41" t="e">
        <f>AND(#REF!,"AAAAAHdv/Wk=")</f>
        <v>#REF!</v>
      </c>
      <c r="DC41" t="e">
        <f>AND(#REF!,"AAAAAHdv/Wo=")</f>
        <v>#REF!</v>
      </c>
      <c r="DD41" t="e">
        <f>AND(#REF!,"AAAAAHdv/Ws=")</f>
        <v>#REF!</v>
      </c>
      <c r="DE41" t="e">
        <f>AND(#REF!,"AAAAAHdv/Ww=")</f>
        <v>#REF!</v>
      </c>
      <c r="DF41" t="e">
        <f>AND(#REF!,"AAAAAHdv/W0=")</f>
        <v>#REF!</v>
      </c>
      <c r="DG41" t="e">
        <f>AND(#REF!,"AAAAAHdv/W4=")</f>
        <v>#REF!</v>
      </c>
      <c r="DH41" t="e">
        <f>AND(#REF!,"AAAAAHdv/W8=")</f>
        <v>#REF!</v>
      </c>
      <c r="DI41" t="e">
        <f>AND(#REF!,"AAAAAHdv/XA=")</f>
        <v>#REF!</v>
      </c>
      <c r="DJ41" t="e">
        <f>AND(#REF!,"AAAAAHdv/XE=")</f>
        <v>#REF!</v>
      </c>
      <c r="DK41" t="e">
        <f>AND(#REF!,"AAAAAHdv/XI=")</f>
        <v>#REF!</v>
      </c>
      <c r="DL41" t="e">
        <f>AND(#REF!,"AAAAAHdv/XM=")</f>
        <v>#REF!</v>
      </c>
      <c r="DM41" t="e">
        <f>AND(#REF!,"AAAAAHdv/XQ=")</f>
        <v>#REF!</v>
      </c>
      <c r="DN41" t="e">
        <f>AND(#REF!,"AAAAAHdv/XU=")</f>
        <v>#REF!</v>
      </c>
      <c r="DO41" t="e">
        <f>AND(#REF!,"AAAAAHdv/XY=")</f>
        <v>#REF!</v>
      </c>
      <c r="DP41" t="e">
        <f>AND(#REF!,"AAAAAHdv/Xc=")</f>
        <v>#REF!</v>
      </c>
      <c r="DQ41" t="e">
        <f>AND(#REF!,"AAAAAHdv/Xg=")</f>
        <v>#REF!</v>
      </c>
      <c r="DR41" t="e">
        <f>AND(#REF!,"AAAAAHdv/Xk=")</f>
        <v>#REF!</v>
      </c>
      <c r="DS41" t="e">
        <f>AND(#REF!,"AAAAAHdv/Xo=")</f>
        <v>#REF!</v>
      </c>
      <c r="DT41" t="e">
        <f>AND(#REF!,"AAAAAHdv/Xs=")</f>
        <v>#REF!</v>
      </c>
      <c r="DU41" t="e">
        <f>AND(#REF!,"AAAAAHdv/Xw=")</f>
        <v>#REF!</v>
      </c>
      <c r="DV41" t="e">
        <f>AND(#REF!,"AAAAAHdv/X0=")</f>
        <v>#REF!</v>
      </c>
      <c r="DW41" t="e">
        <f>AND(#REF!,"AAAAAHdv/X4=")</f>
        <v>#REF!</v>
      </c>
      <c r="DX41" t="e">
        <f>AND(#REF!,"AAAAAHdv/X8=")</f>
        <v>#REF!</v>
      </c>
      <c r="DY41" t="e">
        <f>AND(#REF!,"AAAAAHdv/YA=")</f>
        <v>#REF!</v>
      </c>
      <c r="DZ41" t="e">
        <f>AND(#REF!,"AAAAAHdv/YE=")</f>
        <v>#REF!</v>
      </c>
      <c r="EA41" t="e">
        <f>AND(#REF!,"AAAAAHdv/YI=")</f>
        <v>#REF!</v>
      </c>
      <c r="EB41" t="e">
        <f>AND(#REF!,"AAAAAHdv/YM=")</f>
        <v>#REF!</v>
      </c>
      <c r="EC41" t="e">
        <f>AND(#REF!,"AAAAAHdv/YQ=")</f>
        <v>#REF!</v>
      </c>
      <c r="ED41" t="e">
        <f>AND(#REF!,"AAAAAHdv/YU=")</f>
        <v>#REF!</v>
      </c>
      <c r="EE41" t="e">
        <f>AND(#REF!,"AAAAAHdv/YY=")</f>
        <v>#REF!</v>
      </c>
      <c r="EF41" t="e">
        <f>AND(#REF!,"AAAAAHdv/Yc=")</f>
        <v>#REF!</v>
      </c>
      <c r="EG41" t="e">
        <f>AND(#REF!,"AAAAAHdv/Yg=")</f>
        <v>#REF!</v>
      </c>
      <c r="EH41" t="e">
        <f>AND(#REF!,"AAAAAHdv/Yk=")</f>
        <v>#REF!</v>
      </c>
      <c r="EI41" t="e">
        <f>AND(#REF!,"AAAAAHdv/Yo=")</f>
        <v>#REF!</v>
      </c>
      <c r="EJ41" t="e">
        <f>IF(#REF!,"AAAAAHdv/Ys=",0)</f>
        <v>#REF!</v>
      </c>
      <c r="EK41" t="e">
        <f>AND(#REF!,"AAAAAHdv/Yw=")</f>
        <v>#REF!</v>
      </c>
      <c r="EL41" t="e">
        <f>AND(#REF!,"AAAAAHdv/Y0=")</f>
        <v>#REF!</v>
      </c>
      <c r="EM41" t="e">
        <f>AND(#REF!,"AAAAAHdv/Y4=")</f>
        <v>#REF!</v>
      </c>
      <c r="EN41" t="e">
        <f>IF(#REF!,"AAAAAHdv/Y8=",0)</f>
        <v>#REF!</v>
      </c>
      <c r="EO41" t="e">
        <f>AND(#REF!,"AAAAAHdv/ZA=")</f>
        <v>#REF!</v>
      </c>
      <c r="EP41" t="e">
        <f>AND(#REF!,"AAAAAHdv/ZE=")</f>
        <v>#REF!</v>
      </c>
      <c r="EQ41" t="e">
        <f>AND(#REF!,"AAAAAHdv/ZI=")</f>
        <v>#REF!</v>
      </c>
      <c r="ER41" t="e">
        <f>IF(#REF!,"AAAAAHdv/ZM=",0)</f>
        <v>#REF!</v>
      </c>
      <c r="ES41" t="e">
        <f>AND(#REF!,"AAAAAHdv/ZQ=")</f>
        <v>#REF!</v>
      </c>
      <c r="ET41" t="e">
        <f>AND(#REF!,"AAAAAHdv/ZU=")</f>
        <v>#REF!</v>
      </c>
      <c r="EU41" t="e">
        <f>AND(#REF!,"AAAAAHdv/ZY=")</f>
        <v>#REF!</v>
      </c>
      <c r="EV41" t="e">
        <f>IF(#REF!,"AAAAAHdv/Zc=",0)</f>
        <v>#REF!</v>
      </c>
      <c r="EW41" t="e">
        <f>AND(#REF!,"AAAAAHdv/Zg=")</f>
        <v>#REF!</v>
      </c>
      <c r="EX41" t="e">
        <f>AND(#REF!,"AAAAAHdv/Zk=")</f>
        <v>#REF!</v>
      </c>
      <c r="EY41" t="e">
        <f>AND(#REF!,"AAAAAHdv/Zo=")</f>
        <v>#REF!</v>
      </c>
      <c r="EZ41" t="e">
        <f>IF(#REF!,"AAAAAHdv/Zs=",0)</f>
        <v>#REF!</v>
      </c>
      <c r="FA41" t="e">
        <f>AND(#REF!,"AAAAAHdv/Zw=")</f>
        <v>#REF!</v>
      </c>
      <c r="FB41" t="e">
        <f>AND(#REF!,"AAAAAHdv/Z0=")</f>
        <v>#REF!</v>
      </c>
      <c r="FC41" t="e">
        <f>AND(#REF!,"AAAAAHdv/Z4=")</f>
        <v>#REF!</v>
      </c>
      <c r="FD41" t="e">
        <f>IF(#REF!,"AAAAAHdv/Z8=",0)</f>
        <v>#REF!</v>
      </c>
      <c r="FE41" t="e">
        <f>AND(#REF!,"AAAAAHdv/aA=")</f>
        <v>#REF!</v>
      </c>
      <c r="FF41" t="e">
        <f>AND(#REF!,"AAAAAHdv/aE=")</f>
        <v>#REF!</v>
      </c>
      <c r="FG41" t="e">
        <f>AND(#REF!,"AAAAAHdv/aI=")</f>
        <v>#REF!</v>
      </c>
      <c r="FH41" t="e">
        <f>IF(#REF!,"AAAAAHdv/aM=",0)</f>
        <v>#REF!</v>
      </c>
      <c r="FI41" t="e">
        <f>AND(#REF!,"AAAAAHdv/aQ=")</f>
        <v>#REF!</v>
      </c>
      <c r="FJ41" t="e">
        <f>AND(#REF!,"AAAAAHdv/aU=")</f>
        <v>#REF!</v>
      </c>
      <c r="FK41" t="e">
        <f>AND(#REF!,"AAAAAHdv/aY=")</f>
        <v>#REF!</v>
      </c>
      <c r="FL41" t="e">
        <f>IF(#REF!,"AAAAAHdv/ac=",0)</f>
        <v>#REF!</v>
      </c>
      <c r="FM41" t="e">
        <f>AND(#REF!,"AAAAAHdv/ag=")</f>
        <v>#REF!</v>
      </c>
      <c r="FN41" t="e">
        <f>AND(#REF!,"AAAAAHdv/ak=")</f>
        <v>#REF!</v>
      </c>
      <c r="FO41" t="e">
        <f>AND(#REF!,"AAAAAHdv/ao=")</f>
        <v>#REF!</v>
      </c>
      <c r="FP41" t="e">
        <f>IF(#REF!,"AAAAAHdv/as=",0)</f>
        <v>#REF!</v>
      </c>
      <c r="FQ41" t="e">
        <f>AND(#REF!,"AAAAAHdv/aw=")</f>
        <v>#REF!</v>
      </c>
      <c r="FR41" t="e">
        <f>AND(#REF!,"AAAAAHdv/a0=")</f>
        <v>#REF!</v>
      </c>
      <c r="FS41" t="e">
        <f>AND(#REF!,"AAAAAHdv/a4=")</f>
        <v>#REF!</v>
      </c>
      <c r="FT41" t="e">
        <f>IF(#REF!,"AAAAAHdv/a8=",0)</f>
        <v>#REF!</v>
      </c>
      <c r="FU41" t="e">
        <f>AND(#REF!,"AAAAAHdv/bA=")</f>
        <v>#REF!</v>
      </c>
      <c r="FV41" t="e">
        <f>AND(#REF!,"AAAAAHdv/bE=")</f>
        <v>#REF!</v>
      </c>
      <c r="FW41" t="e">
        <f>AND(#REF!,"AAAAAHdv/bI=")</f>
        <v>#REF!</v>
      </c>
      <c r="FX41" t="e">
        <f>IF(#REF!,"AAAAAHdv/bM=",0)</f>
        <v>#REF!</v>
      </c>
      <c r="FY41" t="e">
        <f>AND(#REF!,"AAAAAHdv/bQ=")</f>
        <v>#REF!</v>
      </c>
      <c r="FZ41" t="e">
        <f>AND(#REF!,"AAAAAHdv/bU=")</f>
        <v>#REF!</v>
      </c>
      <c r="GA41" t="e">
        <f>AND(#REF!,"AAAAAHdv/bY=")</f>
        <v>#REF!</v>
      </c>
      <c r="GB41" t="e">
        <f>IF(#REF!,"AAAAAHdv/bc=",0)</f>
        <v>#REF!</v>
      </c>
      <c r="GC41" t="e">
        <f>AND(#REF!,"AAAAAHdv/bg=")</f>
        <v>#REF!</v>
      </c>
      <c r="GD41" t="e">
        <f>AND(#REF!,"AAAAAHdv/bk=")</f>
        <v>#REF!</v>
      </c>
      <c r="GE41" t="e">
        <f>AND(#REF!,"AAAAAHdv/bo=")</f>
        <v>#REF!</v>
      </c>
      <c r="GF41" t="e">
        <f>IF(#REF!,"AAAAAHdv/bs=",0)</f>
        <v>#REF!</v>
      </c>
      <c r="GG41" t="e">
        <f>AND(#REF!,"AAAAAHdv/bw=")</f>
        <v>#REF!</v>
      </c>
      <c r="GH41" t="e">
        <f>AND(#REF!,"AAAAAHdv/b0=")</f>
        <v>#REF!</v>
      </c>
      <c r="GI41" t="e">
        <f>AND(#REF!,"AAAAAHdv/b4=")</f>
        <v>#REF!</v>
      </c>
      <c r="GJ41" t="e">
        <f>IF(#REF!,"AAAAAHdv/b8=",0)</f>
        <v>#REF!</v>
      </c>
      <c r="GK41" t="e">
        <f>AND(#REF!,"AAAAAHdv/cA=")</f>
        <v>#REF!</v>
      </c>
      <c r="GL41" t="e">
        <f>AND(#REF!,"AAAAAHdv/cE=")</f>
        <v>#REF!</v>
      </c>
      <c r="GM41" t="e">
        <f>AND(#REF!,"AAAAAHdv/cI=")</f>
        <v>#REF!</v>
      </c>
      <c r="GN41" t="e">
        <f>IF(#REF!,"AAAAAHdv/cM=",0)</f>
        <v>#REF!</v>
      </c>
      <c r="GO41" t="e">
        <f>AND(#REF!,"AAAAAHdv/cQ=")</f>
        <v>#REF!</v>
      </c>
      <c r="GP41" t="e">
        <f>AND(#REF!,"AAAAAHdv/cU=")</f>
        <v>#REF!</v>
      </c>
      <c r="GQ41" t="e">
        <f>AND(#REF!,"AAAAAHdv/cY=")</f>
        <v>#REF!</v>
      </c>
      <c r="GR41" t="e">
        <f>IF(#REF!,"AAAAAHdv/cc=",0)</f>
        <v>#REF!</v>
      </c>
      <c r="GS41" t="e">
        <f>AND(#REF!,"AAAAAHdv/cg=")</f>
        <v>#REF!</v>
      </c>
      <c r="GT41" t="e">
        <f>AND(#REF!,"AAAAAHdv/ck=")</f>
        <v>#REF!</v>
      </c>
      <c r="GU41" t="e">
        <f>AND(#REF!,"AAAAAHdv/co=")</f>
        <v>#REF!</v>
      </c>
      <c r="GV41" t="e">
        <f>IF(#REF!,"AAAAAHdv/cs=",0)</f>
        <v>#REF!</v>
      </c>
      <c r="GW41" t="e">
        <f>AND(#REF!,"AAAAAHdv/cw=")</f>
        <v>#REF!</v>
      </c>
      <c r="GX41" t="e">
        <f>AND(#REF!,"AAAAAHdv/c0=")</f>
        <v>#REF!</v>
      </c>
      <c r="GY41" t="e">
        <f>AND(#REF!,"AAAAAHdv/c4=")</f>
        <v>#REF!</v>
      </c>
      <c r="GZ41" t="e">
        <f>IF(#REF!,"AAAAAHdv/c8=",0)</f>
        <v>#REF!</v>
      </c>
      <c r="HA41" t="e">
        <f>AND(#REF!,"AAAAAHdv/dA=")</f>
        <v>#REF!</v>
      </c>
      <c r="HB41" t="e">
        <f>AND(#REF!,"AAAAAHdv/dE=")</f>
        <v>#REF!</v>
      </c>
      <c r="HC41" t="e">
        <f>AND(#REF!,"AAAAAHdv/dI=")</f>
        <v>#REF!</v>
      </c>
      <c r="HD41" t="e">
        <f>IF(#REF!,"AAAAAHdv/dM=",0)</f>
        <v>#REF!</v>
      </c>
      <c r="HE41" t="e">
        <f>AND(#REF!,"AAAAAHdv/dQ=")</f>
        <v>#REF!</v>
      </c>
      <c r="HF41" t="e">
        <f>AND(#REF!,"AAAAAHdv/dU=")</f>
        <v>#REF!</v>
      </c>
      <c r="HG41" t="e">
        <f>AND(#REF!,"AAAAAHdv/dY=")</f>
        <v>#REF!</v>
      </c>
      <c r="HH41" t="e">
        <f>IF(#REF!,"AAAAAHdv/dc=",0)</f>
        <v>#REF!</v>
      </c>
      <c r="HI41" t="e">
        <f>AND(#REF!,"AAAAAHdv/dg=")</f>
        <v>#REF!</v>
      </c>
      <c r="HJ41" t="e">
        <f>AND(#REF!,"AAAAAHdv/dk=")</f>
        <v>#REF!</v>
      </c>
      <c r="HK41" t="e">
        <f>AND(#REF!,"AAAAAHdv/do=")</f>
        <v>#REF!</v>
      </c>
      <c r="HL41" t="e">
        <f>IF(#REF!,"AAAAAHdv/ds=",0)</f>
        <v>#REF!</v>
      </c>
      <c r="HM41" t="e">
        <f>AND(#REF!,"AAAAAHdv/dw=")</f>
        <v>#REF!</v>
      </c>
      <c r="HN41" t="e">
        <f>AND(#REF!,"AAAAAHdv/d0=")</f>
        <v>#REF!</v>
      </c>
      <c r="HO41" t="e">
        <f>AND(#REF!,"AAAAAHdv/d4=")</f>
        <v>#REF!</v>
      </c>
      <c r="HP41" t="e">
        <f>IF(#REF!,"AAAAAHdv/d8=",0)</f>
        <v>#REF!</v>
      </c>
      <c r="HQ41" t="e">
        <f>AND(#REF!,"AAAAAHdv/eA=")</f>
        <v>#REF!</v>
      </c>
      <c r="HR41" t="e">
        <f>AND(#REF!,"AAAAAHdv/eE=")</f>
        <v>#REF!</v>
      </c>
      <c r="HS41" t="e">
        <f>AND(#REF!,"AAAAAHdv/eI=")</f>
        <v>#REF!</v>
      </c>
      <c r="HT41" t="e">
        <f>IF(#REF!,"AAAAAHdv/eM=",0)</f>
        <v>#REF!</v>
      </c>
      <c r="HU41" t="e">
        <f>IF(#REF!,"AAAAAHdv/eQ=",0)</f>
        <v>#REF!</v>
      </c>
      <c r="HV41" t="e">
        <f>IF(#REF!,"AAAAAHdv/eU=",0)</f>
        <v>#REF!</v>
      </c>
      <c r="HW41" t="e">
        <f>IF(#REF!,"AAAAAHdv/eY=",0)</f>
        <v>#REF!</v>
      </c>
      <c r="HX41" t="e">
        <f>IF(#REF!,"AAAAAHdv/ec=",0)</f>
        <v>#REF!</v>
      </c>
      <c r="HY41" t="e">
        <f>IF(#REF!,"AAAAAHdv/eg=",0)</f>
        <v>#REF!</v>
      </c>
      <c r="HZ41" t="e">
        <f>IF(#REF!,"AAAAAHdv/ek=",0)</f>
        <v>#REF!</v>
      </c>
      <c r="IA41" t="e">
        <f>IF(#REF!,"AAAAAHdv/eo=",0)</f>
        <v>#REF!</v>
      </c>
      <c r="IB41" t="e">
        <f>IF(#REF!,"AAAAAHdv/es=",0)</f>
        <v>#REF!</v>
      </c>
      <c r="IC41" t="e">
        <f>IF(#REF!,"AAAAAHdv/ew=",0)</f>
        <v>#REF!</v>
      </c>
      <c r="ID41" t="e">
        <f>IF(#REF!,"AAAAAHdv/e0=",0)</f>
        <v>#REF!</v>
      </c>
      <c r="IE41" t="e">
        <f>IF(#REF!,"AAAAAHdv/e4=",0)</f>
        <v>#REF!</v>
      </c>
      <c r="IF41" t="e">
        <f>IF(#REF!,"AAAAAHdv/e8=",0)</f>
        <v>#REF!</v>
      </c>
      <c r="IG41" t="e">
        <f>IF(#REF!,"AAAAAHdv/fA=",0)</f>
        <v>#REF!</v>
      </c>
      <c r="IH41" t="e">
        <f>IF(#REF!,"AAAAAHdv/fE=",0)</f>
        <v>#REF!</v>
      </c>
      <c r="II41" t="e">
        <f>IF(#REF!,"AAAAAHdv/fI=",0)</f>
        <v>#REF!</v>
      </c>
      <c r="IJ41" t="e">
        <f>IF(#REF!,"AAAAAHdv/fM=",0)</f>
        <v>#REF!</v>
      </c>
      <c r="IK41" t="e">
        <f>IF(#REF!,"AAAAAHdv/fQ=",0)</f>
        <v>#REF!</v>
      </c>
      <c r="IL41" t="e">
        <f>IF(#REF!,"AAAAAHdv/fU=",0)</f>
        <v>#REF!</v>
      </c>
      <c r="IM41" t="e">
        <f>IF(#REF!,"AAAAAHdv/fY=",0)</f>
        <v>#REF!</v>
      </c>
      <c r="IN41" t="e">
        <f>IF(#REF!,"AAAAAHdv/fc=",0)</f>
        <v>#REF!</v>
      </c>
      <c r="IO41" t="e">
        <f>IF(#REF!,"AAAAAHdv/fg=",0)</f>
        <v>#REF!</v>
      </c>
      <c r="IP41" t="e">
        <f>IF(#REF!,"AAAAAHdv/fk=",0)</f>
        <v>#REF!</v>
      </c>
      <c r="IQ41" t="e">
        <f>IF(#REF!,"AAAAAHdv/fo=",0)</f>
        <v>#REF!</v>
      </c>
      <c r="IR41" t="e">
        <f>IF(#REF!,"AAAAAHdv/fs=",0)</f>
        <v>#REF!</v>
      </c>
      <c r="IS41" t="e">
        <f>IF(#REF!,"AAAAAHdv/fw=",0)</f>
        <v>#REF!</v>
      </c>
      <c r="IT41" t="e">
        <f>IF(#REF!,"AAAAAHdv/f0=",0)</f>
        <v>#REF!</v>
      </c>
      <c r="IU41" t="e">
        <f>IF(#REF!,"AAAAAHdv/f4=",0)</f>
        <v>#REF!</v>
      </c>
      <c r="IV41" t="e">
        <f>IF(#REF!,"AAAAAHdv/f8=",0)</f>
        <v>#REF!</v>
      </c>
    </row>
    <row r="42" spans="1:256" x14ac:dyDescent="0.35">
      <c r="A42" t="e">
        <f>IF(#REF!,"AAAAAG/3fwA=",0)</f>
        <v>#REF!</v>
      </c>
      <c r="B42" t="e">
        <f>IF(#REF!,"AAAAAG/3fwE=",0)</f>
        <v>#REF!</v>
      </c>
      <c r="C42" t="e">
        <f>IF(#REF!,"AAAAAG/3fwI=",0)</f>
        <v>#REF!</v>
      </c>
      <c r="D42" t="e">
        <f>IF(#REF!,"AAAAAG/3fwM=",0)</f>
        <v>#REF!</v>
      </c>
      <c r="E42" t="e">
        <f>IF(#REF!,"AAAAAG/3fwQ=",0)</f>
        <v>#REF!</v>
      </c>
      <c r="F42" t="e">
        <f>IF(#REF!,"AAAAAG/3fwU=",0)</f>
        <v>#REF!</v>
      </c>
      <c r="G42" t="e">
        <f>IF(#REF!,"AAAAAG/3fwY=",0)</f>
        <v>#REF!</v>
      </c>
      <c r="H42" t="e">
        <f>IF(#REF!,"AAAAAG/3fwc=",0)</f>
        <v>#REF!</v>
      </c>
      <c r="I42" t="e">
        <f>IF(#REF!,"AAAAAG/3fwg=",0)</f>
        <v>#REF!</v>
      </c>
      <c r="J42" t="e">
        <f>IF(#REF!,"AAAAAG/3fwk=",0)</f>
        <v>#REF!</v>
      </c>
      <c r="K42" t="e">
        <f>IF(#REF!,"AAAAAG/3fwo=",0)</f>
        <v>#REF!</v>
      </c>
      <c r="L42" t="e">
        <f>AND(#REF!,"AAAAAG/3fws=")</f>
        <v>#REF!</v>
      </c>
      <c r="M42" t="e">
        <f>AND(#REF!,"AAAAAG/3fww=")</f>
        <v>#REF!</v>
      </c>
      <c r="N42" t="e">
        <f>AND(#REF!,"AAAAAG/3fw0=")</f>
        <v>#REF!</v>
      </c>
      <c r="O42" t="e">
        <f>IF(#REF!,"AAAAAG/3fw4=",0)</f>
        <v>#REF!</v>
      </c>
      <c r="P42" t="e">
        <f>AND(#REF!,"AAAAAG/3fw8=")</f>
        <v>#REF!</v>
      </c>
      <c r="Q42" t="e">
        <f>AND(#REF!,"AAAAAG/3fxA=")</f>
        <v>#REF!</v>
      </c>
      <c r="R42" t="e">
        <f>AND(#REF!,"AAAAAG/3fxE=")</f>
        <v>#REF!</v>
      </c>
      <c r="S42" t="e">
        <f>IF(#REF!,"AAAAAG/3fxI=",0)</f>
        <v>#REF!</v>
      </c>
      <c r="T42" t="e">
        <f>AND(#REF!,"AAAAAG/3fxM=")</f>
        <v>#REF!</v>
      </c>
      <c r="U42" t="e">
        <f>AND(#REF!,"AAAAAG/3fxQ=")</f>
        <v>#REF!</v>
      </c>
      <c r="V42" t="e">
        <f>AND(#REF!,"AAAAAG/3fxU=")</f>
        <v>#REF!</v>
      </c>
      <c r="W42" t="e">
        <f>IF(#REF!,"AAAAAG/3fxY=",0)</f>
        <v>#REF!</v>
      </c>
      <c r="X42" t="e">
        <f>AND(#REF!,"AAAAAG/3fxc=")</f>
        <v>#REF!</v>
      </c>
      <c r="Y42" t="e">
        <f>AND(#REF!,"AAAAAG/3fxg=")</f>
        <v>#REF!</v>
      </c>
      <c r="Z42" t="e">
        <f>AND(#REF!,"AAAAAG/3fxk=")</f>
        <v>#REF!</v>
      </c>
      <c r="AA42" t="e">
        <f>IF(#REF!,"AAAAAG/3fxo=",0)</f>
        <v>#REF!</v>
      </c>
      <c r="AB42" t="e">
        <f>AND(#REF!,"AAAAAG/3fxs=")</f>
        <v>#REF!</v>
      </c>
      <c r="AC42" t="e">
        <f>AND(#REF!,"AAAAAG/3fxw=")</f>
        <v>#REF!</v>
      </c>
      <c r="AD42" t="e">
        <f>AND(#REF!,"AAAAAG/3fx0=")</f>
        <v>#REF!</v>
      </c>
      <c r="AE42" t="e">
        <f>IF(#REF!,"AAAAAG/3fx4=",0)</f>
        <v>#REF!</v>
      </c>
      <c r="AF42" t="e">
        <f>AND(#REF!,"AAAAAG/3fx8=")</f>
        <v>#REF!</v>
      </c>
      <c r="AG42" t="e">
        <f>AND(#REF!,"AAAAAG/3fyA=")</f>
        <v>#REF!</v>
      </c>
      <c r="AH42" t="e">
        <f>AND(#REF!,"AAAAAG/3fyE=")</f>
        <v>#REF!</v>
      </c>
      <c r="AI42" t="e">
        <f>IF(#REF!,"AAAAAG/3fyI=",0)</f>
        <v>#REF!</v>
      </c>
      <c r="AJ42" t="e">
        <f>AND(#REF!,"AAAAAG/3fyM=")</f>
        <v>#REF!</v>
      </c>
      <c r="AK42" t="e">
        <f>AND(#REF!,"AAAAAG/3fyQ=")</f>
        <v>#REF!</v>
      </c>
      <c r="AL42" t="e">
        <f>AND(#REF!,"AAAAAG/3fyU=")</f>
        <v>#REF!</v>
      </c>
      <c r="AM42" t="e">
        <f>IF(#REF!,"AAAAAG/3fyY=",0)</f>
        <v>#REF!</v>
      </c>
      <c r="AN42" t="e">
        <f>AND(#REF!,"AAAAAG/3fyc=")</f>
        <v>#REF!</v>
      </c>
      <c r="AO42" t="e">
        <f>AND(#REF!,"AAAAAG/3fyg=")</f>
        <v>#REF!</v>
      </c>
      <c r="AP42" t="e">
        <f>AND(#REF!,"AAAAAG/3fyk=")</f>
        <v>#REF!</v>
      </c>
      <c r="AQ42" t="e">
        <f>IF(#REF!,"AAAAAG/3fyo=",0)</f>
        <v>#REF!</v>
      </c>
      <c r="AR42" t="e">
        <f>AND(#REF!,"AAAAAG/3fys=")</f>
        <v>#REF!</v>
      </c>
      <c r="AS42" t="e">
        <f>AND(#REF!,"AAAAAG/3fyw=")</f>
        <v>#REF!</v>
      </c>
      <c r="AT42" t="e">
        <f>AND(#REF!,"AAAAAG/3fy0=")</f>
        <v>#REF!</v>
      </c>
      <c r="AU42" t="e">
        <f>IF(#REF!,"AAAAAG/3fy4=",0)</f>
        <v>#REF!</v>
      </c>
      <c r="AV42" t="e">
        <f>AND(#REF!,"AAAAAG/3fy8=")</f>
        <v>#REF!</v>
      </c>
      <c r="AW42" t="e">
        <f>AND(#REF!,"AAAAAG/3fzA=")</f>
        <v>#REF!</v>
      </c>
      <c r="AX42" t="e">
        <f>AND(#REF!,"AAAAAG/3fzE=")</f>
        <v>#REF!</v>
      </c>
      <c r="AY42" t="e">
        <f>IF(#REF!,"AAAAAG/3fzI=",0)</f>
        <v>#REF!</v>
      </c>
      <c r="AZ42" t="e">
        <f>AND(#REF!,"AAAAAG/3fzM=")</f>
        <v>#REF!</v>
      </c>
      <c r="BA42" t="e">
        <f>AND(#REF!,"AAAAAG/3fzQ=")</f>
        <v>#REF!</v>
      </c>
      <c r="BB42" t="e">
        <f>AND(#REF!,"AAAAAG/3fzU=")</f>
        <v>#REF!</v>
      </c>
      <c r="BC42" t="e">
        <f>IF(#REF!,"AAAAAG/3fzY=",0)</f>
        <v>#REF!</v>
      </c>
      <c r="BD42" t="e">
        <f>AND(#REF!,"AAAAAG/3fzc=")</f>
        <v>#REF!</v>
      </c>
      <c r="BE42" t="e">
        <f>AND(#REF!,"AAAAAG/3fzg=")</f>
        <v>#REF!</v>
      </c>
      <c r="BF42" t="e">
        <f>AND(#REF!,"AAAAAG/3fzk=")</f>
        <v>#REF!</v>
      </c>
      <c r="BG42" t="e">
        <f>IF(#REF!,"AAAAAG/3fzo=",0)</f>
        <v>#REF!</v>
      </c>
      <c r="BH42" t="e">
        <f>AND(#REF!,"AAAAAG/3fzs=")</f>
        <v>#REF!</v>
      </c>
      <c r="BI42" t="e">
        <f>AND(#REF!,"AAAAAG/3fzw=")</f>
        <v>#REF!</v>
      </c>
      <c r="BJ42" t="e">
        <f>AND(#REF!,"AAAAAG/3fz0=")</f>
        <v>#REF!</v>
      </c>
      <c r="BK42" t="e">
        <f>IF(#REF!,"AAAAAG/3fz4=",0)</f>
        <v>#REF!</v>
      </c>
      <c r="BL42" t="e">
        <f>AND(#REF!,"AAAAAG/3fz8=")</f>
        <v>#REF!</v>
      </c>
      <c r="BM42" t="e">
        <f>AND(#REF!,"AAAAAG/3f0A=")</f>
        <v>#REF!</v>
      </c>
      <c r="BN42" t="e">
        <f>AND(#REF!,"AAAAAG/3f0E=")</f>
        <v>#REF!</v>
      </c>
      <c r="BO42" t="e">
        <f>IF(#REF!,"AAAAAG/3f0I=",0)</f>
        <v>#REF!</v>
      </c>
      <c r="BP42" t="e">
        <f>AND(#REF!,"AAAAAG/3f0M=")</f>
        <v>#REF!</v>
      </c>
      <c r="BQ42" t="e">
        <f>AND(#REF!,"AAAAAG/3f0Q=")</f>
        <v>#REF!</v>
      </c>
      <c r="BR42" t="e">
        <f>AND(#REF!,"AAAAAG/3f0U=")</f>
        <v>#REF!</v>
      </c>
      <c r="BS42" t="e">
        <f>IF(#REF!,"AAAAAG/3f0Y=",0)</f>
        <v>#REF!</v>
      </c>
      <c r="BT42" t="e">
        <f>AND(#REF!,"AAAAAG/3f0c=")</f>
        <v>#REF!</v>
      </c>
      <c r="BU42" t="e">
        <f>AND(#REF!,"AAAAAG/3f0g=")</f>
        <v>#REF!</v>
      </c>
      <c r="BV42" t="e">
        <f>AND(#REF!,"AAAAAG/3f0k=")</f>
        <v>#REF!</v>
      </c>
      <c r="BW42" t="e">
        <f>IF(#REF!,"AAAAAG/3f0o=",0)</f>
        <v>#REF!</v>
      </c>
      <c r="BX42" t="e">
        <f>AND(#REF!,"AAAAAG/3f0s=")</f>
        <v>#REF!</v>
      </c>
      <c r="BY42" t="e">
        <f>AND(#REF!,"AAAAAG/3f0w=")</f>
        <v>#REF!</v>
      </c>
      <c r="BZ42" t="e">
        <f>AND(#REF!,"AAAAAG/3f00=")</f>
        <v>#REF!</v>
      </c>
      <c r="CA42" t="e">
        <f>IF(#REF!,"AAAAAG/3f04=",0)</f>
        <v>#REF!</v>
      </c>
      <c r="CB42" t="e">
        <f>AND(#REF!,"AAAAAG/3f08=")</f>
        <v>#REF!</v>
      </c>
      <c r="CC42" t="e">
        <f>AND(#REF!,"AAAAAG/3f1A=")</f>
        <v>#REF!</v>
      </c>
      <c r="CD42" t="e">
        <f>AND(#REF!,"AAAAAG/3f1E=")</f>
        <v>#REF!</v>
      </c>
      <c r="CE42" t="e">
        <f>IF(#REF!,"AAAAAG/3f1I=",0)</f>
        <v>#REF!</v>
      </c>
      <c r="CF42" t="e">
        <f>AND(#REF!,"AAAAAG/3f1M=")</f>
        <v>#REF!</v>
      </c>
      <c r="CG42" t="e">
        <f>AND(#REF!,"AAAAAG/3f1Q=")</f>
        <v>#REF!</v>
      </c>
      <c r="CH42" t="e">
        <f>AND(#REF!,"AAAAAG/3f1U=")</f>
        <v>#REF!</v>
      </c>
      <c r="CI42" t="e">
        <f>IF(#REF!,"AAAAAG/3f1Y=",0)</f>
        <v>#REF!</v>
      </c>
      <c r="CJ42" t="e">
        <f>AND(#REF!,"AAAAAG/3f1c=")</f>
        <v>#REF!</v>
      </c>
      <c r="CK42" t="e">
        <f>AND(#REF!,"AAAAAG/3f1g=")</f>
        <v>#REF!</v>
      </c>
      <c r="CL42" t="e">
        <f>AND(#REF!,"AAAAAG/3f1k=")</f>
        <v>#REF!</v>
      </c>
      <c r="CM42" t="e">
        <f>IF(#REF!,"AAAAAG/3f1o=",0)</f>
        <v>#REF!</v>
      </c>
      <c r="CN42" t="e">
        <f>IF(#REF!,"AAAAAG/3f1s=",0)</f>
        <v>#REF!</v>
      </c>
      <c r="CO42" t="e">
        <f>IF(#REF!,"AAAAAG/3f1w=",0)</f>
        <v>#REF!</v>
      </c>
      <c r="CP42" t="s">
        <v>65</v>
      </c>
      <c r="CQ42" s="11" t="s">
        <v>66</v>
      </c>
    </row>
    <row r="43" spans="1:256" x14ac:dyDescent="0.35">
      <c r="A43" t="e">
        <f>IF(#REF!,"AAAAAFv3/wA=",0)</f>
        <v>#REF!</v>
      </c>
      <c r="B43" t="e">
        <f>AND(#REF!,"AAAAAFv3/wE=")</f>
        <v>#REF!</v>
      </c>
      <c r="C43" t="e">
        <f>AND(#REF!,"AAAAAFv3/wI=")</f>
        <v>#REF!</v>
      </c>
      <c r="D43" t="e">
        <f>IF(#REF!,"AAAAAFv3/wM=",0)</f>
        <v>#REF!</v>
      </c>
      <c r="E43" t="e">
        <f>AND(#REF!,"AAAAAFv3/wQ=")</f>
        <v>#REF!</v>
      </c>
      <c r="F43" t="e">
        <f>AND(#REF!,"AAAAAFv3/wU=")</f>
        <v>#REF!</v>
      </c>
      <c r="G43" t="e">
        <f>IF(#REF!,"AAAAAFv3/wY=",0)</f>
        <v>#REF!</v>
      </c>
      <c r="H43" t="e">
        <f>AND(#REF!,"AAAAAFv3/wc=")</f>
        <v>#REF!</v>
      </c>
      <c r="I43" t="e">
        <f>AND(#REF!,"AAAAAFv3/wg=")</f>
        <v>#REF!</v>
      </c>
      <c r="J43" t="e">
        <f>IF(#REF!,"AAAAAFv3/wk=",0)</f>
        <v>#REF!</v>
      </c>
      <c r="K43" t="e">
        <f>AND(#REF!,"AAAAAFv3/wo=")</f>
        <v>#REF!</v>
      </c>
      <c r="L43" t="e">
        <f>AND(#REF!,"AAAAAFv3/ws=")</f>
        <v>#REF!</v>
      </c>
      <c r="M43" t="e">
        <f>IF(#REF!,"AAAAAFv3/ww=",0)</f>
        <v>#REF!</v>
      </c>
      <c r="N43" t="e">
        <f>AND(#REF!,"AAAAAFv3/w0=")</f>
        <v>#REF!</v>
      </c>
      <c r="O43" t="e">
        <f>AND(#REF!,"AAAAAFv3/w4=")</f>
        <v>#REF!</v>
      </c>
      <c r="P43" t="e">
        <f>IF(#REF!,"AAAAAFv3/w8=",0)</f>
        <v>#REF!</v>
      </c>
      <c r="Q43" t="e">
        <f>AND(#REF!,"AAAAAFv3/xA=")</f>
        <v>#REF!</v>
      </c>
      <c r="R43" t="e">
        <f>AND(#REF!,"AAAAAFv3/xE=")</f>
        <v>#REF!</v>
      </c>
      <c r="S43" t="e">
        <f>IF(#REF!,"AAAAAFv3/xI=",0)</f>
        <v>#REF!</v>
      </c>
      <c r="T43" t="e">
        <f>AND(#REF!,"AAAAAFv3/xM=")</f>
        <v>#REF!</v>
      </c>
      <c r="U43" t="e">
        <f>AND(#REF!,"AAAAAFv3/xQ=")</f>
        <v>#REF!</v>
      </c>
      <c r="V43">
        <f>IF(AprendizajeColaborativo!19:19,"AAAAAFv3/xU=",0)</f>
        <v>0</v>
      </c>
      <c r="W43" t="e">
        <f>AND(AprendizajeColaborativo!A19,"AAAAAFv3/xY=")</f>
        <v>#VALUE!</v>
      </c>
      <c r="X43" t="e">
        <f>AND(AprendizajeColaborativo!#REF!,"AAAAAFv3/xc=")</f>
        <v>#REF!</v>
      </c>
      <c r="Y43">
        <f>IF(AprendizajeColaborativo!20:20,"AAAAAFv3/xg=",0)</f>
        <v>0</v>
      </c>
      <c r="Z43" t="e">
        <f>AND(AprendizajeColaborativo!A20,"AAAAAFv3/xk=")</f>
        <v>#VALUE!</v>
      </c>
      <c r="AA43" t="e">
        <f>AND(AprendizajeColaborativo!#REF!,"AAAAAFv3/xo=")</f>
        <v>#REF!</v>
      </c>
      <c r="AB43" t="e">
        <f>IF(AprendizajeColaborativo!#REF!,"AAAAAFv3/xs=",0)</f>
        <v>#REF!</v>
      </c>
      <c r="AC43" t="e">
        <f>AND(AprendizajeColaborativo!#REF!,"AAAAAFv3/xw=")</f>
        <v>#REF!</v>
      </c>
      <c r="AD43" t="e">
        <f>AND(AprendizajeColaborativo!#REF!,"AAAAAFv3/x0=")</f>
        <v>#REF!</v>
      </c>
      <c r="AE43" t="e">
        <f>IF(AprendizajeColaborativo!#REF!,"AAAAAFv3/x4=",0)</f>
        <v>#REF!</v>
      </c>
      <c r="AF43" t="e">
        <f>AND(AprendizajeColaborativo!#REF!,"AAAAAFv3/x8=")</f>
        <v>#REF!</v>
      </c>
      <c r="AG43" t="e">
        <f>AND(AprendizajeColaborativo!#REF!,"AAAAAFv3/yA=")</f>
        <v>#REF!</v>
      </c>
      <c r="AH43" t="e">
        <f>IF(AprendizajeColaborativo!#REF!,"AAAAAFv3/yE=",0)</f>
        <v>#REF!</v>
      </c>
      <c r="AI43" t="e">
        <f>AND(AprendizajeColaborativo!#REF!,"AAAAAFv3/yI=")</f>
        <v>#REF!</v>
      </c>
      <c r="AJ43" t="e">
        <f>AND(AprendizajeColaborativo!#REF!,"AAAAAFv3/yM=")</f>
        <v>#REF!</v>
      </c>
      <c r="AK43" t="e">
        <f>IF(AprendizajeColaborativo!#REF!,"AAAAAFv3/yQ=",0)</f>
        <v>#REF!</v>
      </c>
      <c r="AL43" t="e">
        <f>AND(AprendizajeColaborativo!#REF!,"AAAAAFv3/yU=")</f>
        <v>#REF!</v>
      </c>
      <c r="AM43" t="e">
        <f>AND(AprendizajeColaborativo!#REF!,"AAAAAFv3/yY=")</f>
        <v>#REF!</v>
      </c>
      <c r="AN43" t="e">
        <f>IF(AprendizajeColaborativo!#REF!,"AAAAAFv3/yc=",0)</f>
        <v>#REF!</v>
      </c>
      <c r="AO43" t="e">
        <f>AND(AprendizajeColaborativo!#REF!,"AAAAAFv3/yg=")</f>
        <v>#REF!</v>
      </c>
      <c r="AP43" t="e">
        <f>AND(AprendizajeColaborativo!#REF!,"AAAAAFv3/yk=")</f>
        <v>#REF!</v>
      </c>
      <c r="AQ43" t="e">
        <f>IF(Tareas!#REF!,"AAAAAFv3/yo=",0)</f>
        <v>#REF!</v>
      </c>
      <c r="AR43" t="e">
        <f>AND(Tareas!#REF!,"AAAAAFv3/ys=")</f>
        <v>#REF!</v>
      </c>
      <c r="AS43" t="e">
        <f>AND(Tareas!#REF!,"AAAAAFv3/yw=")</f>
        <v>#REF!</v>
      </c>
      <c r="AT43" t="e">
        <f>AND(Tareas!#REF!,"AAAAAFv3/y0=")</f>
        <v>#REF!</v>
      </c>
      <c r="AU43" t="e">
        <f>AND(Tareas!#REF!,"AAAAAFv3/y4=")</f>
        <v>#REF!</v>
      </c>
      <c r="AV43" t="e">
        <f>AND(Tareas!#REF!,"AAAAAFv3/y8=")</f>
        <v>#REF!</v>
      </c>
      <c r="AW43" t="e">
        <f>AND(Tareas!#REF!,"AAAAAFv3/zA=")</f>
        <v>#REF!</v>
      </c>
      <c r="AX43" t="e">
        <f>AND(Tareas!#REF!,"AAAAAFv3/zE=")</f>
        <v>#REF!</v>
      </c>
      <c r="AY43" t="e">
        <f>IF(Tareas!#REF!,"AAAAAFv3/zI=",0)</f>
        <v>#REF!</v>
      </c>
      <c r="AZ43" t="e">
        <f>AND(Tareas!#REF!,"AAAAAFv3/zM=")</f>
        <v>#REF!</v>
      </c>
      <c r="BA43" t="e">
        <f>AND(Tareas!#REF!,"AAAAAFv3/zQ=")</f>
        <v>#REF!</v>
      </c>
      <c r="BB43" t="e">
        <f>AND(Tareas!#REF!,"AAAAAFv3/zU=")</f>
        <v>#REF!</v>
      </c>
      <c r="BC43" t="e">
        <f>AND(Tareas!#REF!,"AAAAAFv3/zY=")</f>
        <v>#REF!</v>
      </c>
      <c r="BD43" t="e">
        <f>AND(Tareas!#REF!,"AAAAAFv3/zc=")</f>
        <v>#REF!</v>
      </c>
      <c r="BE43" t="e">
        <f>AND(Tareas!#REF!,"AAAAAFv3/zg=")</f>
        <v>#REF!</v>
      </c>
      <c r="BF43" t="e">
        <f>AND(Tareas!#REF!,"AAAAAFv3/zk=")</f>
        <v>#REF!</v>
      </c>
      <c r="BG43" t="e">
        <f>IF(Tareas!#REF!,"AAAAAFv3/zo=",0)</f>
        <v>#REF!</v>
      </c>
      <c r="BH43" t="e">
        <f>AND(Tareas!#REF!,"AAAAAFv3/zs=")</f>
        <v>#REF!</v>
      </c>
      <c r="BI43" t="e">
        <f>AND(Tareas!#REF!,"AAAAAFv3/zw=")</f>
        <v>#REF!</v>
      </c>
      <c r="BJ43" t="e">
        <f>AND(Tareas!#REF!,"AAAAAFv3/z0=")</f>
        <v>#REF!</v>
      </c>
      <c r="BK43" t="e">
        <f>AND(Tareas!#REF!,"AAAAAFv3/z4=")</f>
        <v>#REF!</v>
      </c>
      <c r="BL43" t="e">
        <f>AND(Tareas!#REF!,"AAAAAFv3/z8=")</f>
        <v>#REF!</v>
      </c>
      <c r="BM43" t="e">
        <f>AND(Tareas!#REF!,"AAAAAFv3/0A=")</f>
        <v>#REF!</v>
      </c>
      <c r="BN43" t="e">
        <f>AND(Tareas!#REF!,"AAAAAFv3/0E=")</f>
        <v>#REF!</v>
      </c>
      <c r="BO43" t="e">
        <f>IF(Tareas!#REF!,"AAAAAFv3/0I=",0)</f>
        <v>#REF!</v>
      </c>
      <c r="BP43" t="e">
        <f>AND(Tareas!#REF!,"AAAAAFv3/0M=")</f>
        <v>#REF!</v>
      </c>
      <c r="BQ43" t="e">
        <f>AND(Tareas!#REF!,"AAAAAFv3/0Q=")</f>
        <v>#REF!</v>
      </c>
      <c r="BR43" t="e">
        <f>AND(Tareas!#REF!,"AAAAAFv3/0U=")</f>
        <v>#REF!</v>
      </c>
      <c r="BS43" t="e">
        <f>AND(Tareas!#REF!,"AAAAAFv3/0Y=")</f>
        <v>#REF!</v>
      </c>
      <c r="BT43" t="e">
        <f>AND(Tareas!#REF!,"AAAAAFv3/0c=")</f>
        <v>#REF!</v>
      </c>
      <c r="BU43" t="e">
        <f>AND(Tareas!#REF!,"AAAAAFv3/0g=")</f>
        <v>#REF!</v>
      </c>
      <c r="BV43" t="e">
        <f>AND(Tareas!#REF!,"AAAAAFv3/0k=")</f>
        <v>#REF!</v>
      </c>
      <c r="BW43" t="e">
        <f>IF(Tareas!#REF!,"AAAAAFv3/0o=",0)</f>
        <v>#REF!</v>
      </c>
      <c r="BX43" t="e">
        <f>AND(Tareas!#REF!,"AAAAAFv3/0s=")</f>
        <v>#REF!</v>
      </c>
      <c r="BY43" t="e">
        <f>AND(Tareas!#REF!,"AAAAAFv3/0w=")</f>
        <v>#REF!</v>
      </c>
      <c r="BZ43" t="e">
        <f>AND(Tareas!#REF!,"AAAAAFv3/00=")</f>
        <v>#REF!</v>
      </c>
      <c r="CA43" t="e">
        <f>AND(Tareas!#REF!,"AAAAAFv3/04=")</f>
        <v>#REF!</v>
      </c>
      <c r="CB43" t="e">
        <f>AND(Tareas!#REF!,"AAAAAFv3/08=")</f>
        <v>#REF!</v>
      </c>
      <c r="CC43" t="e">
        <f>AND(Tareas!#REF!,"AAAAAFv3/1A=")</f>
        <v>#REF!</v>
      </c>
      <c r="CD43" t="e">
        <f>AND(Tareas!#REF!,"AAAAAFv3/1E=")</f>
        <v>#REF!</v>
      </c>
      <c r="CE43" t="e">
        <f>IF(Tareas!#REF!,"AAAAAFv3/1I=",0)</f>
        <v>#REF!</v>
      </c>
      <c r="CF43" t="e">
        <f>AND(Tareas!#REF!,"AAAAAFv3/1M=")</f>
        <v>#REF!</v>
      </c>
      <c r="CG43" t="e">
        <f>AND(Tareas!#REF!,"AAAAAFv3/1Q=")</f>
        <v>#REF!</v>
      </c>
      <c r="CH43" t="e">
        <f>AND(Tareas!#REF!,"AAAAAFv3/1U=")</f>
        <v>#REF!</v>
      </c>
      <c r="CI43" t="e">
        <f>AND(Tareas!#REF!,"AAAAAFv3/1Y=")</f>
        <v>#REF!</v>
      </c>
      <c r="CJ43" t="e">
        <f>AND(Tareas!#REF!,"AAAAAFv3/1c=")</f>
        <v>#REF!</v>
      </c>
      <c r="CK43" t="e">
        <f>AND(Tareas!#REF!,"AAAAAFv3/1g=")</f>
        <v>#REF!</v>
      </c>
      <c r="CL43" t="e">
        <f>AND(Tareas!#REF!,"AAAAAFv3/1k=")</f>
        <v>#REF!</v>
      </c>
      <c r="CM43" t="e">
        <f>IF(Tareas!#REF!,"AAAAAFv3/1o=",0)</f>
        <v>#REF!</v>
      </c>
      <c r="CN43" t="e">
        <f>AND(Tareas!#REF!,"AAAAAFv3/1s=")</f>
        <v>#REF!</v>
      </c>
      <c r="CO43" t="e">
        <f>AND(Tareas!#REF!,"AAAAAFv3/1w=")</f>
        <v>#REF!</v>
      </c>
      <c r="CP43" t="e">
        <f>AND(Tareas!#REF!,"AAAAAFv3/10=")</f>
        <v>#REF!</v>
      </c>
      <c r="CQ43" t="e">
        <f>AND(Tareas!#REF!,"AAAAAFv3/14=")</f>
        <v>#REF!</v>
      </c>
      <c r="CR43" t="e">
        <f>AND(Tareas!#REF!,"AAAAAFv3/18=")</f>
        <v>#REF!</v>
      </c>
      <c r="CS43" t="e">
        <f>AND(Tareas!#REF!,"AAAAAFv3/2A=")</f>
        <v>#REF!</v>
      </c>
      <c r="CT43" t="e">
        <f>AND(Tareas!#REF!,"AAAAAFv3/2E=")</f>
        <v>#REF!</v>
      </c>
      <c r="CU43" t="e">
        <f>AND(Proyecto!#REF!,"AAAAAFv3/2I=")</f>
        <v>#REF!</v>
      </c>
      <c r="CV43" t="e">
        <f>AND(Proyecto!#REF!,"AAAAAFv3/2M=")</f>
        <v>#REF!</v>
      </c>
      <c r="CW43" t="e">
        <f>AND(Proyecto!#REF!,"AAAAAFv3/2Q=")</f>
        <v>#REF!</v>
      </c>
      <c r="CX43" t="e">
        <f>AND(Proyecto!#REF!,"AAAAAFv3/2U=")</f>
        <v>#REF!</v>
      </c>
      <c r="CY43" t="e">
        <f>AND(Proyecto!#REF!,"AAAAAFv3/2Y=")</f>
        <v>#REF!</v>
      </c>
      <c r="CZ43" t="e">
        <f>AND(Proyecto!#REF!,"AAAAAFv3/2c=")</f>
        <v>#REF!</v>
      </c>
      <c r="DA43" t="e">
        <f>AND(Proyecto!#REF!,"AAAAAFv3/2g=")</f>
        <v>#REF!</v>
      </c>
      <c r="DB43" t="e">
        <f>AND(Proyecto!#REF!,"AAAAAFv3/2k=")</f>
        <v>#REF!</v>
      </c>
      <c r="DC43" t="e">
        <f>AND(Proyecto!#REF!,"AAAAAFv3/2o=")</f>
        <v>#REF!</v>
      </c>
      <c r="DD43" t="e">
        <f>AND(Proyecto!#REF!,"AAAAAFv3/2s=")</f>
        <v>#REF!</v>
      </c>
      <c r="DE43" t="e">
        <f>AND(Proyecto!#REF!,"AAAAAFv3/2w=")</f>
        <v>#REF!</v>
      </c>
      <c r="DF43" t="e">
        <f>AND(Proyecto!#REF!,"AAAAAFv3/20=")</f>
        <v>#REF!</v>
      </c>
      <c r="DG43" t="e">
        <f>AND(Proyecto!#REF!,"AAAAAFv3/24=")</f>
        <v>#REF!</v>
      </c>
      <c r="DH43" t="e">
        <f>AND(Proyecto!#REF!,"AAAAAFv3/28=")</f>
        <v>#REF!</v>
      </c>
      <c r="DI43" t="e">
        <f>AND(Proyecto!#REF!,"AAAAAFv3/3A=")</f>
        <v>#REF!</v>
      </c>
      <c r="DJ43" t="e">
        <f>AND(Proyecto!#REF!,"AAAAAFv3/3E=")</f>
        <v>#REF!</v>
      </c>
      <c r="DK43" t="e">
        <f>AND(Proyecto!#REF!,"AAAAAFv3/3I=")</f>
        <v>#REF!</v>
      </c>
      <c r="DL43" t="e">
        <f>AND(Proyecto!#REF!,"AAAAAFv3/3M=")</f>
        <v>#REF!</v>
      </c>
      <c r="DM43" t="e">
        <f>AND(Proyecto!#REF!,"AAAAAFv3/3Q=")</f>
        <v>#REF!</v>
      </c>
      <c r="DN43" t="e">
        <f>AND(Proyecto!#REF!,"AAAAAFv3/3U=")</f>
        <v>#REF!</v>
      </c>
      <c r="DO43" t="e">
        <f>AND(Proyecto!#REF!,"AAAAAFv3/3Y=")</f>
        <v>#REF!</v>
      </c>
      <c r="DP43" t="e">
        <f>AND(Proyecto!#REF!,"AAAAAFv3/3c=")</f>
        <v>#REF!</v>
      </c>
      <c r="DQ43" t="e">
        <f>AND(Proyecto!#REF!,"AAAAAFv3/3g=")</f>
        <v>#REF!</v>
      </c>
      <c r="DR43" t="e">
        <f>AND(Proyecto!#REF!,"AAAAAFv3/3k=")</f>
        <v>#REF!</v>
      </c>
      <c r="DS43" t="e">
        <f>AND(Proyecto!#REF!,"AAAAAFv3/3o=")</f>
        <v>#REF!</v>
      </c>
      <c r="DT43" t="e">
        <f>AND(Proyecto!#REF!,"AAAAAFv3/3s=")</f>
        <v>#REF!</v>
      </c>
      <c r="DU43" t="e">
        <f>AND(Proyecto!#REF!,"AAAAAFv3/3w=")</f>
        <v>#REF!</v>
      </c>
      <c r="DV43" t="e">
        <f>AND(Proyecto!#REF!,"AAAAAFv3/30=")</f>
        <v>#REF!</v>
      </c>
      <c r="DW43" t="e">
        <f>AND(Proyecto!#REF!,"AAAAAFv3/34=")</f>
        <v>#REF!</v>
      </c>
      <c r="DX43" t="e">
        <f>AND(Proyecto!#REF!,"AAAAAFv3/38=")</f>
        <v>#REF!</v>
      </c>
      <c r="DY43" t="e">
        <f>AND(Proyecto!N1,"AAAAAFv3/4A=")</f>
        <v>#VALUE!</v>
      </c>
      <c r="DZ43" t="e">
        <f>AND(Proyecto!O1,"AAAAAFv3/4E=")</f>
        <v>#VALUE!</v>
      </c>
      <c r="EA43" t="e">
        <f>AND(Proyecto!Q1,"AAAAAFv3/4I=")</f>
        <v>#VALUE!</v>
      </c>
      <c r="EB43" t="e">
        <f>AND(Proyecto!R1,"AAAAAFv3/4M=")</f>
        <v>#VALUE!</v>
      </c>
      <c r="EC43" t="e">
        <f>AND(Proyecto!S1,"AAAAAFv3/4Q=")</f>
        <v>#VALUE!</v>
      </c>
      <c r="ED43" t="e">
        <f>AND(Proyecto!T1,"AAAAAFv3/4U=")</f>
        <v>#VALUE!</v>
      </c>
      <c r="EE43" t="e">
        <f>AND(Proyecto!N2,"AAAAAFv3/4Y=")</f>
        <v>#VALUE!</v>
      </c>
      <c r="EF43" t="e">
        <f>AND(Proyecto!O2,"AAAAAFv3/4c=")</f>
        <v>#VALUE!</v>
      </c>
      <c r="EG43" t="e">
        <f>AND(Proyecto!Q2,"AAAAAFv3/4g=")</f>
        <v>#VALUE!</v>
      </c>
      <c r="EH43" t="e">
        <f>AND(Proyecto!R2,"AAAAAFv3/4k=")</f>
        <v>#VALUE!</v>
      </c>
      <c r="EI43" t="e">
        <f>AND(Proyecto!S2,"AAAAAFv3/4o=")</f>
        <v>#VALUE!</v>
      </c>
      <c r="EJ43" t="e">
        <f>AND(Proyecto!T2,"AAAAAFv3/4s=")</f>
        <v>#VALUE!</v>
      </c>
      <c r="EK43" t="e">
        <f>AND(Proyecto!N3,"AAAAAFv3/4w=")</f>
        <v>#VALUE!</v>
      </c>
      <c r="EL43" t="e">
        <f>AND(Proyecto!O3,"AAAAAFv3/40=")</f>
        <v>#VALUE!</v>
      </c>
      <c r="EM43" t="e">
        <f>AND(Proyecto!Q3,"AAAAAFv3/44=")</f>
        <v>#VALUE!</v>
      </c>
      <c r="EN43" t="e">
        <f>AND(Proyecto!R3,"AAAAAFv3/48=")</f>
        <v>#VALUE!</v>
      </c>
      <c r="EO43" t="e">
        <f>AND(Proyecto!S3,"AAAAAFv3/5A=")</f>
        <v>#VALUE!</v>
      </c>
      <c r="EP43" t="e">
        <f>AND(Proyecto!T3,"AAAAAFv3/5E=")</f>
        <v>#VALUE!</v>
      </c>
      <c r="EQ43" t="e">
        <f>AND(Proyecto!N4,"AAAAAFv3/5I=")</f>
        <v>#VALUE!</v>
      </c>
      <c r="ER43" t="e">
        <f>AND(Proyecto!#REF!,"AAAAAFv3/5M=")</f>
        <v>#REF!</v>
      </c>
      <c r="ES43" t="e">
        <f>AND(Proyecto!#REF!,"AAAAAFv3/5Q=")</f>
        <v>#REF!</v>
      </c>
      <c r="ET43" t="e">
        <f>AND(Proyecto!#REF!,"AAAAAFv3/5U=")</f>
        <v>#REF!</v>
      </c>
      <c r="EU43" t="e">
        <f>AND(Proyecto!S4,"AAAAAFv3/5Y=")</f>
        <v>#VALUE!</v>
      </c>
      <c r="EV43" t="e">
        <f>AND(Proyecto!T4,"AAAAAFv3/5c=")</f>
        <v>#VALUE!</v>
      </c>
      <c r="EW43" t="e">
        <f>AND(Proyecto!N5,"AAAAAFv3/5g=")</f>
        <v>#VALUE!</v>
      </c>
      <c r="EX43" t="e">
        <f>AND(Proyecto!#REF!,"AAAAAFv3/5k=")</f>
        <v>#REF!</v>
      </c>
      <c r="EY43" t="e">
        <f>AND(Proyecto!#REF!,"AAAAAFv3/5o=")</f>
        <v>#REF!</v>
      </c>
      <c r="EZ43" t="e">
        <f>AND(Proyecto!#REF!,"AAAAAFv3/5s=")</f>
        <v>#REF!</v>
      </c>
      <c r="FA43" t="e">
        <f>AND(Proyecto!S5,"AAAAAFv3/5w=")</f>
        <v>#VALUE!</v>
      </c>
      <c r="FB43" t="e">
        <f>AND(Proyecto!T5,"AAAAAFv3/50=")</f>
        <v>#VALUE!</v>
      </c>
      <c r="FC43" t="e">
        <f>AND(Proyecto!N6,"AAAAAFv3/54=")</f>
        <v>#VALUE!</v>
      </c>
      <c r="FD43" t="e">
        <f>AND(Proyecto!#REF!,"AAAAAFv3/58=")</f>
        <v>#REF!</v>
      </c>
      <c r="FE43" t="e">
        <f>AND(Proyecto!#REF!,"AAAAAFv3/6A=")</f>
        <v>#REF!</v>
      </c>
      <c r="FF43" t="e">
        <f>AND(Proyecto!#REF!,"AAAAAFv3/6E=")</f>
        <v>#REF!</v>
      </c>
      <c r="FG43" t="e">
        <f>AND(Proyecto!S6,"AAAAAFv3/6I=")</f>
        <v>#VALUE!</v>
      </c>
      <c r="FH43" t="e">
        <f>AND(Proyecto!T6,"AAAAAFv3/6M=")</f>
        <v>#VALUE!</v>
      </c>
      <c r="FI43" t="e">
        <f>AND(Proyecto!#REF!,"AAAAAFv3/6Q=")</f>
        <v>#REF!</v>
      </c>
      <c r="FJ43" t="e">
        <f>AND(Proyecto!#REF!,"AAAAAFv3/6U=")</f>
        <v>#REF!</v>
      </c>
      <c r="FK43" t="e">
        <f>AND(Proyecto!#REF!,"AAAAAFv3/6Y=")</f>
        <v>#REF!</v>
      </c>
      <c r="FL43" t="e">
        <f>AND(Proyecto!#REF!,"AAAAAFv3/6c=")</f>
        <v>#REF!</v>
      </c>
      <c r="FM43" t="e">
        <f>AND(Proyecto!#REF!,"AAAAAFv3/6g=")</f>
        <v>#REF!</v>
      </c>
      <c r="FN43" t="e">
        <f>AND(Proyecto!#REF!,"AAAAAFv3/6k=")</f>
        <v>#REF!</v>
      </c>
      <c r="FO43" t="e">
        <f>AND(Proyecto!N7,"AAAAAFv3/6o=")</f>
        <v>#VALUE!</v>
      </c>
      <c r="FP43" t="e">
        <f>AND(Proyecto!#REF!,"AAAAAFv3/6s=")</f>
        <v>#REF!</v>
      </c>
      <c r="FQ43" t="e">
        <f>AND(Proyecto!#REF!,"AAAAAFv3/6w=")</f>
        <v>#REF!</v>
      </c>
      <c r="FR43" t="e">
        <f>AND(Proyecto!#REF!,"AAAAAFv3/60=")</f>
        <v>#REF!</v>
      </c>
      <c r="FS43" t="e">
        <f>AND(Proyecto!S7,"AAAAAFv3/64=")</f>
        <v>#VALUE!</v>
      </c>
      <c r="FT43" t="e">
        <f>AND(Proyecto!T7,"AAAAAFv3/68=")</f>
        <v>#VALUE!</v>
      </c>
      <c r="FU43" t="e">
        <f>AND(Proyecto!N8,"AAAAAFv3/7A=")</f>
        <v>#VALUE!</v>
      </c>
      <c r="FV43" t="e">
        <f>AND(Proyecto!#REF!,"AAAAAFv3/7E=")</f>
        <v>#REF!</v>
      </c>
      <c r="FW43" t="e">
        <f>AND(Proyecto!#REF!,"AAAAAFv3/7I=")</f>
        <v>#REF!</v>
      </c>
      <c r="FX43" t="e">
        <f>AND(Proyecto!#REF!,"AAAAAFv3/7M=")</f>
        <v>#REF!</v>
      </c>
      <c r="FY43" t="e">
        <f>AND(Proyecto!S8,"AAAAAFv3/7Q=")</f>
        <v>#VALUE!</v>
      </c>
      <c r="FZ43" t="e">
        <f>AND(Proyecto!T8,"AAAAAFv3/7U=")</f>
        <v>#VALUE!</v>
      </c>
      <c r="GA43" t="e">
        <f>AND(Proyecto!N9,"AAAAAFv3/7Y=")</f>
        <v>#VALUE!</v>
      </c>
      <c r="GB43" t="e">
        <f>AND(Proyecto!#REF!,"AAAAAFv3/7c=")</f>
        <v>#REF!</v>
      </c>
      <c r="GC43" t="e">
        <f>AND(Proyecto!#REF!,"AAAAAFv3/7g=")</f>
        <v>#REF!</v>
      </c>
      <c r="GD43" t="e">
        <f>AND(Proyecto!#REF!,"AAAAAFv3/7k=")</f>
        <v>#REF!</v>
      </c>
      <c r="GE43" t="e">
        <f>AND(Proyecto!S9,"AAAAAFv3/7o=")</f>
        <v>#VALUE!</v>
      </c>
      <c r="GF43" t="e">
        <f>AND(Proyecto!T9,"AAAAAFv3/7s=")</f>
        <v>#VALUE!</v>
      </c>
      <c r="GG43" t="e">
        <f>AND(Proyecto!N10,"AAAAAFv3/7w=")</f>
        <v>#VALUE!</v>
      </c>
      <c r="GH43" t="e">
        <f>AND(Proyecto!#REF!,"AAAAAFv3/70=")</f>
        <v>#REF!</v>
      </c>
      <c r="GI43" t="e">
        <f>AND(Proyecto!#REF!,"AAAAAFv3/74=")</f>
        <v>#REF!</v>
      </c>
      <c r="GJ43" t="e">
        <f>AND(Proyecto!#REF!,"AAAAAFv3/78=")</f>
        <v>#REF!</v>
      </c>
      <c r="GK43" t="e">
        <f>AND(Proyecto!S10,"AAAAAFv3/8A=")</f>
        <v>#VALUE!</v>
      </c>
      <c r="GL43" t="e">
        <f>AND(Proyecto!T10,"AAAAAFv3/8E=")</f>
        <v>#VALUE!</v>
      </c>
      <c r="GM43" t="e">
        <f>AND(Proyecto!N11,"AAAAAFv3/8I=")</f>
        <v>#VALUE!</v>
      </c>
      <c r="GN43" t="e">
        <f>AND(Proyecto!#REF!,"AAAAAFv3/8M=")</f>
        <v>#REF!</v>
      </c>
      <c r="GO43" t="e">
        <f>AND(Proyecto!#REF!,"AAAAAFv3/8Q=")</f>
        <v>#REF!</v>
      </c>
      <c r="GP43" t="e">
        <f>AND(Proyecto!#REF!,"AAAAAFv3/8U=")</f>
        <v>#REF!</v>
      </c>
      <c r="GQ43" t="e">
        <f>AND(Proyecto!S11,"AAAAAFv3/8Y=")</f>
        <v>#VALUE!</v>
      </c>
      <c r="GR43" t="e">
        <f>AND(Proyecto!T11,"AAAAAFv3/8c=")</f>
        <v>#VALUE!</v>
      </c>
      <c r="GS43" t="e">
        <f>AND(Proyecto!N12,"AAAAAFv3/8g=")</f>
        <v>#VALUE!</v>
      </c>
      <c r="GT43" t="e">
        <f>AND(Proyecto!#REF!,"AAAAAFv3/8k=")</f>
        <v>#REF!</v>
      </c>
      <c r="GU43" t="e">
        <f>AND(Proyecto!#REF!,"AAAAAFv3/8o=")</f>
        <v>#REF!</v>
      </c>
      <c r="GV43" t="e">
        <f>AND(Proyecto!#REF!,"AAAAAFv3/8s=")</f>
        <v>#REF!</v>
      </c>
      <c r="GW43" t="e">
        <f>AND(Proyecto!S12,"AAAAAFv3/8w=")</f>
        <v>#VALUE!</v>
      </c>
      <c r="GX43" t="e">
        <f>AND(Proyecto!T12,"AAAAAFv3/80=")</f>
        <v>#VALUE!</v>
      </c>
      <c r="GY43" t="e">
        <f>AND(Proyecto!N13,"AAAAAFv3/84=")</f>
        <v>#VALUE!</v>
      </c>
      <c r="GZ43" t="e">
        <f>AND(Proyecto!#REF!,"AAAAAFv3/88=")</f>
        <v>#REF!</v>
      </c>
      <c r="HA43" t="e">
        <f>AND(Proyecto!#REF!,"AAAAAFv3/9A=")</f>
        <v>#REF!</v>
      </c>
      <c r="HB43" t="e">
        <f>AND(Proyecto!#REF!,"AAAAAFv3/9E=")</f>
        <v>#REF!</v>
      </c>
      <c r="HC43" t="e">
        <f>AND(Proyecto!S13,"AAAAAFv3/9I=")</f>
        <v>#VALUE!</v>
      </c>
      <c r="HD43" t="e">
        <f>AND(Proyecto!T13,"AAAAAFv3/9M=")</f>
        <v>#VALUE!</v>
      </c>
      <c r="HE43" t="e">
        <f>AND(Proyecto!N14,"AAAAAFv3/9Q=")</f>
        <v>#VALUE!</v>
      </c>
      <c r="HF43" t="e">
        <f>AND(Proyecto!#REF!,"AAAAAFv3/9U=")</f>
        <v>#REF!</v>
      </c>
      <c r="HG43" t="e">
        <f>AND(Proyecto!#REF!,"AAAAAFv3/9Y=")</f>
        <v>#REF!</v>
      </c>
      <c r="HH43" t="e">
        <f>AND(Proyecto!#REF!,"AAAAAFv3/9c=")</f>
        <v>#REF!</v>
      </c>
      <c r="HI43" t="e">
        <f>AND(Proyecto!S14,"AAAAAFv3/9g=")</f>
        <v>#VALUE!</v>
      </c>
      <c r="HJ43" t="e">
        <f>AND(Proyecto!T14,"AAAAAFv3/9k=")</f>
        <v>#VALUE!</v>
      </c>
      <c r="HK43" t="e">
        <f>AND(Proyecto!N15,"AAAAAFv3/9o=")</f>
        <v>#VALUE!</v>
      </c>
      <c r="HL43" t="e">
        <f>AND(Proyecto!#REF!,"AAAAAFv3/9s=")</f>
        <v>#REF!</v>
      </c>
      <c r="HM43" t="e">
        <f>AND(Proyecto!#REF!,"AAAAAFv3/9w=")</f>
        <v>#REF!</v>
      </c>
      <c r="HN43" t="e">
        <f>AND(Proyecto!#REF!,"AAAAAFv3/90=")</f>
        <v>#REF!</v>
      </c>
      <c r="HO43" t="e">
        <f>AND(Proyecto!S15,"AAAAAFv3/94=")</f>
        <v>#VALUE!</v>
      </c>
      <c r="HP43" t="e">
        <f>AND(Proyecto!T15,"AAAAAFv3/98=")</f>
        <v>#VALUE!</v>
      </c>
      <c r="HQ43" t="e">
        <f>AND(Proyecto!N16,"AAAAAFv3/+A=")</f>
        <v>#VALUE!</v>
      </c>
      <c r="HR43" t="e">
        <f>AND(Proyecto!O16,"AAAAAFv3/+E=")</f>
        <v>#VALUE!</v>
      </c>
      <c r="HS43" t="e">
        <f>AND(Proyecto!Q16,"AAAAAFv3/+I=")</f>
        <v>#VALUE!</v>
      </c>
      <c r="HT43" t="e">
        <f>AND(Proyecto!R16,"AAAAAFv3/+M=")</f>
        <v>#VALUE!</v>
      </c>
      <c r="HU43" t="e">
        <f>AND(Proyecto!S16,"AAAAAFv3/+Q=")</f>
        <v>#VALUE!</v>
      </c>
      <c r="HV43" t="e">
        <f>AND(Proyecto!T16,"AAAAAFv3/+U=")</f>
        <v>#VALUE!</v>
      </c>
      <c r="HW43" t="e">
        <f>AND(Proyecto!N17,"AAAAAFv3/+Y=")</f>
        <v>#VALUE!</v>
      </c>
      <c r="HX43" t="e">
        <f>AND(Proyecto!O17,"AAAAAFv3/+c=")</f>
        <v>#VALUE!</v>
      </c>
      <c r="HY43" t="e">
        <f>AND(Proyecto!Q17,"AAAAAFv3/+g=")</f>
        <v>#VALUE!</v>
      </c>
      <c r="HZ43" t="e">
        <f>AND(Proyecto!R17,"AAAAAFv3/+k=")</f>
        <v>#VALUE!</v>
      </c>
      <c r="IA43" t="e">
        <f>AND(Proyecto!S17,"AAAAAFv3/+o=")</f>
        <v>#VALUE!</v>
      </c>
      <c r="IB43" t="e">
        <f>AND(Proyecto!T17,"AAAAAFv3/+s=")</f>
        <v>#VALUE!</v>
      </c>
      <c r="IC43" t="e">
        <f>AND(Proyecto!#REF!,"AAAAAFv3/+w=")</f>
        <v>#REF!</v>
      </c>
      <c r="ID43" t="e">
        <f>AND(Proyecto!#REF!,"AAAAAFv3/+0=")</f>
        <v>#REF!</v>
      </c>
      <c r="IE43" t="e">
        <f>AND(Proyecto!#REF!,"AAAAAFv3/+4=")</f>
        <v>#REF!</v>
      </c>
      <c r="IF43" t="e">
        <f>AND(Proyecto!#REF!,"AAAAAFv3/+8=")</f>
        <v>#REF!</v>
      </c>
      <c r="IG43" t="e">
        <f>AND(Proyecto!#REF!,"AAAAAFv3//A=")</f>
        <v>#REF!</v>
      </c>
      <c r="IH43" t="e">
        <f>AND(Proyecto!#REF!,"AAAAAFv3//E=")</f>
        <v>#REF!</v>
      </c>
      <c r="II43" t="e">
        <f>IF(Proyecto!#REF!,"AAAAAFv3//I=",0)</f>
        <v>#REF!</v>
      </c>
      <c r="IJ43" t="e">
        <f>AND(Proyecto!#REF!,"AAAAAFv3//M=")</f>
        <v>#REF!</v>
      </c>
      <c r="IK43" t="e">
        <f>AND(Proyecto!#REF!,"AAAAAFv3//Q=")</f>
        <v>#REF!</v>
      </c>
      <c r="IL43" t="e">
        <f>IF(Proyecto!#REF!,"AAAAAFv3//U=",0)</f>
        <v>#REF!</v>
      </c>
      <c r="IM43" t="e">
        <f>AND(Proyecto!#REF!,"AAAAAFv3//Y=")</f>
        <v>#REF!</v>
      </c>
      <c r="IN43" t="e">
        <f>AND(Proyecto!#REF!,"AAAAAFv3//c=")</f>
        <v>#REF!</v>
      </c>
      <c r="IO43" t="e">
        <f>IF(Proyecto!#REF!,"AAAAAFv3//g=",0)</f>
        <v>#REF!</v>
      </c>
      <c r="IP43" t="e">
        <f>AND(Proyecto!#REF!,"AAAAAFv3//k=")</f>
        <v>#REF!</v>
      </c>
      <c r="IQ43" t="e">
        <f>AND(Proyecto!#REF!,"AAAAAFv3//o=")</f>
        <v>#REF!</v>
      </c>
      <c r="IR43" t="e">
        <f>IF(Proyecto!#REF!,"AAAAAFv3//s=",0)</f>
        <v>#REF!</v>
      </c>
      <c r="IS43" t="e">
        <f>AND(Proyecto!#REF!,"AAAAAFv3//w=")</f>
        <v>#REF!</v>
      </c>
      <c r="IT43" t="e">
        <f>AND(Proyecto!#REF!,"AAAAAFv3//0=")</f>
        <v>#REF!</v>
      </c>
      <c r="IU43" t="e">
        <f>IF(Proyecto!#REF!,"AAAAAFv3//4=",0)</f>
        <v>#REF!</v>
      </c>
      <c r="IV43" t="e">
        <f>AND(Proyecto!#REF!,"AAAAAFv3//8=")</f>
        <v>#REF!</v>
      </c>
    </row>
    <row r="44" spans="1:256" x14ac:dyDescent="0.35">
      <c r="A44" t="e">
        <f>AND(Proyecto!#REF!,"AAAAAG/3rwA=")</f>
        <v>#REF!</v>
      </c>
      <c r="B44" t="e">
        <f>IF(Proyecto!#REF!,"AAAAAG/3rwE=",0)</f>
        <v>#REF!</v>
      </c>
      <c r="C44" t="e">
        <f>AND(Proyecto!#REF!,"AAAAAG/3rwI=")</f>
        <v>#REF!</v>
      </c>
      <c r="D44" t="e">
        <f>AND(Proyecto!#REF!,"AAAAAG/3rwM=")</f>
        <v>#REF!</v>
      </c>
      <c r="E44" t="e">
        <f>IF(Proyecto!#REF!,"AAAAAG/3rwQ=",0)</f>
        <v>#REF!</v>
      </c>
      <c r="F44" t="e">
        <f>AND(Proyecto!#REF!,"AAAAAG/3rwU=")</f>
        <v>#REF!</v>
      </c>
      <c r="G44" t="e">
        <f>AND(Proyecto!#REF!,"AAAAAG/3rwY=")</f>
        <v>#REF!</v>
      </c>
      <c r="H44" t="e">
        <f>IF(#REF!,"AAAAAG/3rwc=",0)</f>
        <v>#REF!</v>
      </c>
      <c r="I44" t="e">
        <f>AND(#REF!,"AAAAAG/3rwg=")</f>
        <v>#REF!</v>
      </c>
      <c r="J44" t="e">
        <f>AND(#REF!,"AAAAAG/3rwk=")</f>
        <v>#REF!</v>
      </c>
      <c r="K44" t="e">
        <f>AND(#REF!,"AAAAAG/3rwo=")</f>
        <v>#REF!</v>
      </c>
      <c r="L44" t="e">
        <f>AND(#REF!,"AAAAAG/3rws=")</f>
        <v>#REF!</v>
      </c>
      <c r="M44" t="e">
        <f>AND(#REF!,"AAAAAG/3rww=")</f>
        <v>#REF!</v>
      </c>
      <c r="N44" t="e">
        <f>AND(#REF!,"AAAAAG/3rw0=")</f>
        <v>#REF!</v>
      </c>
      <c r="O44" t="e">
        <f>AND(#REF!,"AAAAAG/3rw4=")</f>
        <v>#REF!</v>
      </c>
      <c r="P44" t="e">
        <f>AND(#REF!,"AAAAAG/3rw8=")</f>
        <v>#REF!</v>
      </c>
      <c r="Q44" t="e">
        <f>AND(#REF!,"AAAAAG/3rxA=")</f>
        <v>#REF!</v>
      </c>
      <c r="R44" t="e">
        <f>AND(#REF!,"AAAAAG/3rxE=")</f>
        <v>#REF!</v>
      </c>
      <c r="S44" t="e">
        <f>AND(#REF!,"AAAAAG/3rxI=")</f>
        <v>#REF!</v>
      </c>
      <c r="T44" t="e">
        <f>AND(#REF!,"AAAAAG/3rxM=")</f>
        <v>#REF!</v>
      </c>
      <c r="U44" t="e">
        <f>AND(#REF!,"AAAAAG/3rxQ=")</f>
        <v>#REF!</v>
      </c>
      <c r="V44" t="e">
        <f>AND(#REF!,"AAAAAG/3rxU=")</f>
        <v>#REF!</v>
      </c>
      <c r="W44" t="e">
        <f>AND(#REF!,"AAAAAG/3rxY=")</f>
        <v>#REF!</v>
      </c>
      <c r="X44" t="e">
        <f>AND(#REF!,"AAAAAG/3rxc=")</f>
        <v>#REF!</v>
      </c>
      <c r="Y44" t="e">
        <f>AND(#REF!,"AAAAAG/3rxg=")</f>
        <v>#REF!</v>
      </c>
      <c r="Z44" t="e">
        <f>AND(#REF!,"AAAAAG/3rxk=")</f>
        <v>#REF!</v>
      </c>
      <c r="AA44" t="e">
        <f>AND(#REF!,"AAAAAG/3rxo=")</f>
        <v>#REF!</v>
      </c>
      <c r="AB44" t="e">
        <f>AND(#REF!,"AAAAAG/3rxs=")</f>
        <v>#REF!</v>
      </c>
      <c r="AC44" t="e">
        <f>AND(#REF!,"AAAAAG/3rxw=")</f>
        <v>#REF!</v>
      </c>
      <c r="AD44" t="e">
        <f>AND(#REF!,"AAAAAG/3rx0=")</f>
        <v>#REF!</v>
      </c>
      <c r="AE44" t="e">
        <f>AND(#REF!,"AAAAAG/3rx4=")</f>
        <v>#REF!</v>
      </c>
      <c r="AF44" t="e">
        <f>AND(#REF!,"AAAAAG/3rx8=")</f>
        <v>#REF!</v>
      </c>
      <c r="AG44" t="e">
        <f>AND(#REF!,"AAAAAG/3ryA=")</f>
        <v>#REF!</v>
      </c>
      <c r="AH44" t="e">
        <f>AND(#REF!,"AAAAAG/3ryE=")</f>
        <v>#REF!</v>
      </c>
      <c r="AI44" t="e">
        <f>AND(#REF!,"AAAAAG/3ryI=")</f>
        <v>#REF!</v>
      </c>
      <c r="AJ44" t="e">
        <f>AND(#REF!,"AAAAAG/3ryM=")</f>
        <v>#REF!</v>
      </c>
      <c r="AK44" t="e">
        <f>AND(#REF!,"AAAAAG/3ryQ=")</f>
        <v>#REF!</v>
      </c>
      <c r="AL44" t="e">
        <f>IF(#REF!,"AAAAAG/3ryU=",0)</f>
        <v>#REF!</v>
      </c>
      <c r="AM44" t="e">
        <f>AND(#REF!,"AAAAAG/3ryY=")</f>
        <v>#REF!</v>
      </c>
      <c r="AN44" t="e">
        <f>AND(#REF!,"AAAAAG/3ryc=")</f>
        <v>#REF!</v>
      </c>
      <c r="AO44" t="e">
        <f>AND(#REF!,"AAAAAG/3ryg=")</f>
        <v>#REF!</v>
      </c>
      <c r="AP44" t="e">
        <f>AND(#REF!,"AAAAAG/3ryk=")</f>
        <v>#REF!</v>
      </c>
      <c r="AQ44" t="e">
        <f>AND(#REF!,"AAAAAG/3ryo=")</f>
        <v>#REF!</v>
      </c>
      <c r="AR44" t="e">
        <f>AND(#REF!,"AAAAAG/3rys=")</f>
        <v>#REF!</v>
      </c>
      <c r="AS44" t="e">
        <f>AND(#REF!,"AAAAAG/3ryw=")</f>
        <v>#REF!</v>
      </c>
      <c r="AT44" t="e">
        <f>AND(#REF!,"AAAAAG/3ry0=")</f>
        <v>#REF!</v>
      </c>
      <c r="AU44" t="e">
        <f>AND(#REF!,"AAAAAG/3ry4=")</f>
        <v>#REF!</v>
      </c>
      <c r="AV44" t="e">
        <f>AND(#REF!,"AAAAAG/3ry8=")</f>
        <v>#REF!</v>
      </c>
      <c r="AW44" t="e">
        <f>AND(#REF!,"AAAAAG/3rzA=")</f>
        <v>#REF!</v>
      </c>
      <c r="AX44" t="e">
        <f>AND(#REF!,"AAAAAG/3rzE=")</f>
        <v>#REF!</v>
      </c>
      <c r="AY44" t="e">
        <f>AND(#REF!,"AAAAAG/3rzI=")</f>
        <v>#REF!</v>
      </c>
      <c r="AZ44" t="e">
        <f>AND(#REF!,"AAAAAG/3rzM=")</f>
        <v>#REF!</v>
      </c>
      <c r="BA44" t="e">
        <f>AND(#REF!,"AAAAAG/3rzQ=")</f>
        <v>#REF!</v>
      </c>
      <c r="BB44" t="e">
        <f>AND(#REF!,"AAAAAG/3rzU=")</f>
        <v>#REF!</v>
      </c>
      <c r="BC44" t="e">
        <f>AND(#REF!,"AAAAAG/3rzY=")</f>
        <v>#REF!</v>
      </c>
      <c r="BD44" t="e">
        <f>AND(#REF!,"AAAAAG/3rzc=")</f>
        <v>#REF!</v>
      </c>
      <c r="BE44" t="e">
        <f>AND(#REF!,"AAAAAG/3rzg=")</f>
        <v>#REF!</v>
      </c>
      <c r="BF44" t="e">
        <f>AND(#REF!,"AAAAAG/3rzk=")</f>
        <v>#REF!</v>
      </c>
      <c r="BG44" t="e">
        <f>AND(#REF!,"AAAAAG/3rzo=")</f>
        <v>#REF!</v>
      </c>
      <c r="BH44" t="e">
        <f>AND(#REF!,"AAAAAG/3rzs=")</f>
        <v>#REF!</v>
      </c>
      <c r="BI44" t="e">
        <f>AND(#REF!,"AAAAAG/3rzw=")</f>
        <v>#REF!</v>
      </c>
      <c r="BJ44" t="e">
        <f>AND(#REF!,"AAAAAG/3rz0=")</f>
        <v>#REF!</v>
      </c>
      <c r="BK44" t="e">
        <f>AND(#REF!,"AAAAAG/3rz4=")</f>
        <v>#REF!</v>
      </c>
      <c r="BL44" t="e">
        <f>AND(#REF!,"AAAAAG/3rz8=")</f>
        <v>#REF!</v>
      </c>
      <c r="BM44" t="e">
        <f>AND(#REF!,"AAAAAG/3r0A=")</f>
        <v>#REF!</v>
      </c>
      <c r="BN44" t="e">
        <f>AND(#REF!,"AAAAAG/3r0E=")</f>
        <v>#REF!</v>
      </c>
      <c r="BO44" t="e">
        <f>AND(#REF!,"AAAAAG/3r0I=")</f>
        <v>#REF!</v>
      </c>
      <c r="BP44" t="e">
        <f>IF(#REF!,"AAAAAG/3r0M=",0)</f>
        <v>#REF!</v>
      </c>
      <c r="BQ44" t="e">
        <f>AND(#REF!,"AAAAAG/3r0Q=")</f>
        <v>#REF!</v>
      </c>
      <c r="BR44" t="e">
        <f>AND(#REF!,"AAAAAG/3r0U=")</f>
        <v>#REF!</v>
      </c>
      <c r="BS44" t="e">
        <f>AND(#REF!,"AAAAAG/3r0Y=")</f>
        <v>#REF!</v>
      </c>
      <c r="BT44" t="e">
        <f>AND(#REF!,"AAAAAG/3r0c=")</f>
        <v>#REF!</v>
      </c>
      <c r="BU44" t="e">
        <f>AND(#REF!,"AAAAAG/3r0g=")</f>
        <v>#REF!</v>
      </c>
      <c r="BV44" t="e">
        <f>AND(#REF!,"AAAAAG/3r0k=")</f>
        <v>#REF!</v>
      </c>
      <c r="BW44" t="e">
        <f>AND(#REF!,"AAAAAG/3r0o=")</f>
        <v>#REF!</v>
      </c>
      <c r="BX44" t="e">
        <f>AND(#REF!,"AAAAAG/3r0s=")</f>
        <v>#REF!</v>
      </c>
      <c r="BY44" t="e">
        <f>AND(#REF!,"AAAAAG/3r0w=")</f>
        <v>#REF!</v>
      </c>
      <c r="BZ44" t="e">
        <f>AND(#REF!,"AAAAAG/3r00=")</f>
        <v>#REF!</v>
      </c>
      <c r="CA44" t="e">
        <f>AND(#REF!,"AAAAAG/3r04=")</f>
        <v>#REF!</v>
      </c>
      <c r="CB44" t="e">
        <f>AND(#REF!,"AAAAAG/3r08=")</f>
        <v>#REF!</v>
      </c>
      <c r="CC44" t="e">
        <f>AND(#REF!,"AAAAAG/3r1A=")</f>
        <v>#REF!</v>
      </c>
      <c r="CD44" t="e">
        <f>AND(#REF!,"AAAAAG/3r1E=")</f>
        <v>#REF!</v>
      </c>
      <c r="CE44" t="e">
        <f>AND(#REF!,"AAAAAG/3r1I=")</f>
        <v>#REF!</v>
      </c>
      <c r="CF44" t="e">
        <f>AND(#REF!,"AAAAAG/3r1M=")</f>
        <v>#REF!</v>
      </c>
      <c r="CG44" t="e">
        <f>AND(#REF!,"AAAAAG/3r1Q=")</f>
        <v>#REF!</v>
      </c>
      <c r="CH44" t="e">
        <f>AND(#REF!,"AAAAAG/3r1U=")</f>
        <v>#REF!</v>
      </c>
      <c r="CI44" t="e">
        <f>AND(#REF!,"AAAAAG/3r1Y=")</f>
        <v>#REF!</v>
      </c>
      <c r="CJ44" t="e">
        <f>AND(#REF!,"AAAAAG/3r1c=")</f>
        <v>#REF!</v>
      </c>
      <c r="CK44" t="e">
        <f>AND(#REF!,"AAAAAG/3r1g=")</f>
        <v>#REF!</v>
      </c>
      <c r="CL44" t="e">
        <f>AND(#REF!,"AAAAAG/3r1k=")</f>
        <v>#REF!</v>
      </c>
      <c r="CM44" t="e">
        <f>AND(#REF!,"AAAAAG/3r1o=")</f>
        <v>#REF!</v>
      </c>
      <c r="CN44" t="e">
        <f>AND(#REF!,"AAAAAG/3r1s=")</f>
        <v>#REF!</v>
      </c>
      <c r="CO44" t="e">
        <f>AND(#REF!,"AAAAAG/3r1w=")</f>
        <v>#REF!</v>
      </c>
      <c r="CP44" t="e">
        <f>AND(#REF!,"AAAAAG/3r10=")</f>
        <v>#REF!</v>
      </c>
      <c r="CQ44" t="e">
        <f>AND(#REF!,"AAAAAG/3r14=")</f>
        <v>#REF!</v>
      </c>
      <c r="CR44" t="e">
        <f>AND(#REF!,"AAAAAG/3r18=")</f>
        <v>#REF!</v>
      </c>
      <c r="CS44" t="e">
        <f>AND(#REF!,"AAAAAG/3r2A=")</f>
        <v>#REF!</v>
      </c>
      <c r="CT44" t="e">
        <f>IF(#REF!,"AAAAAG/3r2E=",0)</f>
        <v>#REF!</v>
      </c>
      <c r="CU44" t="e">
        <f>AND(#REF!,"AAAAAG/3r2I=")</f>
        <v>#REF!</v>
      </c>
      <c r="CV44" t="e">
        <f>AND(#REF!,"AAAAAG/3r2M=")</f>
        <v>#REF!</v>
      </c>
      <c r="CW44" t="e">
        <f>AND(#REF!,"AAAAAG/3r2Q=")</f>
        <v>#REF!</v>
      </c>
      <c r="CX44" t="e">
        <f>AND(#REF!,"AAAAAG/3r2U=")</f>
        <v>#REF!</v>
      </c>
      <c r="CY44" t="e">
        <f>AND(#REF!,"AAAAAG/3r2Y=")</f>
        <v>#REF!</v>
      </c>
      <c r="CZ44" t="e">
        <f>AND(#REF!,"AAAAAG/3r2c=")</f>
        <v>#REF!</v>
      </c>
      <c r="DA44" t="e">
        <f>AND(#REF!,"AAAAAG/3r2g=")</f>
        <v>#REF!</v>
      </c>
      <c r="DB44" t="e">
        <f>AND(#REF!,"AAAAAG/3r2k=")</f>
        <v>#REF!</v>
      </c>
      <c r="DC44" t="e">
        <f>AND(#REF!,"AAAAAG/3r2o=")</f>
        <v>#REF!</v>
      </c>
      <c r="DD44" t="e">
        <f>AND(#REF!,"AAAAAG/3r2s=")</f>
        <v>#REF!</v>
      </c>
      <c r="DE44" t="e">
        <f>AND(#REF!,"AAAAAG/3r2w=")</f>
        <v>#REF!</v>
      </c>
      <c r="DF44" t="e">
        <f>AND(#REF!,"AAAAAG/3r20=")</f>
        <v>#REF!</v>
      </c>
      <c r="DG44" t="e">
        <f>AND(#REF!,"AAAAAG/3r24=")</f>
        <v>#REF!</v>
      </c>
      <c r="DH44" t="e">
        <f>AND(#REF!,"AAAAAG/3r28=")</f>
        <v>#REF!</v>
      </c>
      <c r="DI44" t="e">
        <f>AND(#REF!,"AAAAAG/3r3A=")</f>
        <v>#REF!</v>
      </c>
      <c r="DJ44" t="e">
        <f>AND(#REF!,"AAAAAG/3r3E=")</f>
        <v>#REF!</v>
      </c>
      <c r="DK44" t="e">
        <f>AND(#REF!,"AAAAAG/3r3I=")</f>
        <v>#REF!</v>
      </c>
      <c r="DL44" t="e">
        <f>AND(#REF!,"AAAAAG/3r3M=")</f>
        <v>#REF!</v>
      </c>
      <c r="DM44" t="e">
        <f>AND(#REF!,"AAAAAG/3r3Q=")</f>
        <v>#REF!</v>
      </c>
      <c r="DN44" t="e">
        <f>AND(#REF!,"AAAAAG/3r3U=")</f>
        <v>#REF!</v>
      </c>
      <c r="DO44" t="e">
        <f>AND(#REF!,"AAAAAG/3r3Y=")</f>
        <v>#REF!</v>
      </c>
      <c r="DP44" t="e">
        <f>AND(#REF!,"AAAAAG/3r3c=")</f>
        <v>#REF!</v>
      </c>
      <c r="DQ44" t="e">
        <f>AND(#REF!,"AAAAAG/3r3g=")</f>
        <v>#REF!</v>
      </c>
      <c r="DR44" t="e">
        <f>AND(#REF!,"AAAAAG/3r3k=")</f>
        <v>#REF!</v>
      </c>
      <c r="DS44" t="e">
        <f>AND(#REF!,"AAAAAG/3r3o=")</f>
        <v>#REF!</v>
      </c>
      <c r="DT44" t="e">
        <f>AND(#REF!,"AAAAAG/3r3s=")</f>
        <v>#REF!</v>
      </c>
      <c r="DU44" t="e">
        <f>AND(#REF!,"AAAAAG/3r3w=")</f>
        <v>#REF!</v>
      </c>
      <c r="DV44" t="e">
        <f>AND(#REF!,"AAAAAG/3r30=")</f>
        <v>#REF!</v>
      </c>
      <c r="DW44" t="e">
        <f>AND(#REF!,"AAAAAG/3r34=")</f>
        <v>#REF!</v>
      </c>
      <c r="DX44" t="e">
        <f>IF(#REF!,"AAAAAG/3r38=",0)</f>
        <v>#REF!</v>
      </c>
      <c r="DY44" t="e">
        <f>AND(#REF!,"AAAAAG/3r4A=")</f>
        <v>#REF!</v>
      </c>
      <c r="DZ44" t="e">
        <f>AND(#REF!,"AAAAAG/3r4E=")</f>
        <v>#REF!</v>
      </c>
      <c r="EA44" t="e">
        <f>AND(#REF!,"AAAAAG/3r4I=")</f>
        <v>#REF!</v>
      </c>
      <c r="EB44" t="e">
        <f>AND(#REF!,"AAAAAG/3r4M=")</f>
        <v>#REF!</v>
      </c>
      <c r="EC44" t="e">
        <f>AND(#REF!,"AAAAAG/3r4Q=")</f>
        <v>#REF!</v>
      </c>
      <c r="ED44" t="e">
        <f>AND(#REF!,"AAAAAG/3r4U=")</f>
        <v>#REF!</v>
      </c>
      <c r="EE44" t="e">
        <f>AND(#REF!,"AAAAAG/3r4Y=")</f>
        <v>#REF!</v>
      </c>
      <c r="EF44" t="e">
        <f>AND(#REF!,"AAAAAG/3r4c=")</f>
        <v>#REF!</v>
      </c>
      <c r="EG44" t="e">
        <f>AND(#REF!,"AAAAAG/3r4g=")</f>
        <v>#REF!</v>
      </c>
      <c r="EH44" t="e">
        <f>AND(#REF!,"AAAAAG/3r4k=")</f>
        <v>#REF!</v>
      </c>
      <c r="EI44" t="e">
        <f>AND(#REF!,"AAAAAG/3r4o=")</f>
        <v>#REF!</v>
      </c>
      <c r="EJ44" t="e">
        <f>AND(#REF!,"AAAAAG/3r4s=")</f>
        <v>#REF!</v>
      </c>
      <c r="EK44" t="e">
        <f>AND(#REF!,"AAAAAG/3r4w=")</f>
        <v>#REF!</v>
      </c>
      <c r="EL44" t="e">
        <f>AND(#REF!,"AAAAAG/3r40=")</f>
        <v>#REF!</v>
      </c>
      <c r="EM44" t="e">
        <f>AND(#REF!,"AAAAAG/3r44=")</f>
        <v>#REF!</v>
      </c>
      <c r="EN44" t="e">
        <f>AND(#REF!,"AAAAAG/3r48=")</f>
        <v>#REF!</v>
      </c>
      <c r="EO44" t="e">
        <f>AND(#REF!,"AAAAAG/3r5A=")</f>
        <v>#REF!</v>
      </c>
      <c r="EP44" t="e">
        <f>AND(#REF!,"AAAAAG/3r5E=")</f>
        <v>#REF!</v>
      </c>
      <c r="EQ44" t="e">
        <f>AND(#REF!,"AAAAAG/3r5I=")</f>
        <v>#REF!</v>
      </c>
      <c r="ER44" t="e">
        <f>AND(#REF!,"AAAAAG/3r5M=")</f>
        <v>#REF!</v>
      </c>
      <c r="ES44" t="e">
        <f>AND(#REF!,"AAAAAG/3r5Q=")</f>
        <v>#REF!</v>
      </c>
      <c r="ET44" t="e">
        <f>AND(#REF!,"AAAAAG/3r5U=")</f>
        <v>#REF!</v>
      </c>
      <c r="EU44" t="e">
        <f>AND(#REF!,"AAAAAG/3r5Y=")</f>
        <v>#REF!</v>
      </c>
      <c r="EV44" t="e">
        <f>AND(#REF!,"AAAAAG/3r5c=")</f>
        <v>#REF!</v>
      </c>
      <c r="EW44" t="e">
        <f>AND(#REF!,"AAAAAG/3r5g=")</f>
        <v>#REF!</v>
      </c>
      <c r="EX44" t="e">
        <f>AND(#REF!,"AAAAAG/3r5k=")</f>
        <v>#REF!</v>
      </c>
      <c r="EY44" t="e">
        <f>AND(#REF!,"AAAAAG/3r5o=")</f>
        <v>#REF!</v>
      </c>
      <c r="EZ44" t="e">
        <f>AND(#REF!,"AAAAAG/3r5s=")</f>
        <v>#REF!</v>
      </c>
      <c r="FA44" t="e">
        <f>AND(#REF!,"AAAAAG/3r5w=")</f>
        <v>#REF!</v>
      </c>
      <c r="FB44" t="e">
        <f>IF(#REF!,"AAAAAG/3r50=",0)</f>
        <v>#REF!</v>
      </c>
      <c r="FC44" t="e">
        <f>AND(#REF!,"AAAAAG/3r54=")</f>
        <v>#REF!</v>
      </c>
      <c r="FD44" t="e">
        <f>AND(#REF!,"AAAAAG/3r58=")</f>
        <v>#REF!</v>
      </c>
      <c r="FE44" t="e">
        <f>AND(#REF!,"AAAAAG/3r6A=")</f>
        <v>#REF!</v>
      </c>
      <c r="FF44" t="e">
        <f>AND(#REF!,"AAAAAG/3r6E=")</f>
        <v>#REF!</v>
      </c>
      <c r="FG44" t="e">
        <f>AND(#REF!,"AAAAAG/3r6I=")</f>
        <v>#REF!</v>
      </c>
      <c r="FH44" t="e">
        <f>AND(#REF!,"AAAAAG/3r6M=")</f>
        <v>#REF!</v>
      </c>
      <c r="FI44" t="e">
        <f>AND(#REF!,"AAAAAG/3r6Q=")</f>
        <v>#REF!</v>
      </c>
      <c r="FJ44" t="e">
        <f>AND(#REF!,"AAAAAG/3r6U=")</f>
        <v>#REF!</v>
      </c>
      <c r="FK44" t="e">
        <f>AND(#REF!,"AAAAAG/3r6Y=")</f>
        <v>#REF!</v>
      </c>
      <c r="FL44" t="e">
        <f>AND(#REF!,"AAAAAG/3r6c=")</f>
        <v>#REF!</v>
      </c>
      <c r="FM44" t="e">
        <f>AND(#REF!,"AAAAAG/3r6g=")</f>
        <v>#REF!</v>
      </c>
      <c r="FN44" t="e">
        <f>AND(#REF!,"AAAAAG/3r6k=")</f>
        <v>#REF!</v>
      </c>
      <c r="FO44" t="e">
        <f>AND(#REF!,"AAAAAG/3r6o=")</f>
        <v>#REF!</v>
      </c>
      <c r="FP44" t="e">
        <f>AND(#REF!,"AAAAAG/3r6s=")</f>
        <v>#REF!</v>
      </c>
      <c r="FQ44" t="e">
        <f>AND(#REF!,"AAAAAG/3r6w=")</f>
        <v>#REF!</v>
      </c>
      <c r="FR44" t="e">
        <f>AND(#REF!,"AAAAAG/3r60=")</f>
        <v>#REF!</v>
      </c>
      <c r="FS44" t="e">
        <f>AND(#REF!,"AAAAAG/3r64=")</f>
        <v>#REF!</v>
      </c>
      <c r="FT44" t="e">
        <f>AND(#REF!,"AAAAAG/3r68=")</f>
        <v>#REF!</v>
      </c>
      <c r="FU44" t="e">
        <f>AND(#REF!,"AAAAAG/3r7A=")</f>
        <v>#REF!</v>
      </c>
      <c r="FV44" t="e">
        <f>AND(#REF!,"AAAAAG/3r7E=")</f>
        <v>#REF!</v>
      </c>
      <c r="FW44" t="e">
        <f>AND(#REF!,"AAAAAG/3r7I=")</f>
        <v>#REF!</v>
      </c>
      <c r="FX44" t="e">
        <f>AND(#REF!,"AAAAAG/3r7M=")</f>
        <v>#REF!</v>
      </c>
      <c r="FY44" t="e">
        <f>AND(#REF!,"AAAAAG/3r7Q=")</f>
        <v>#REF!</v>
      </c>
      <c r="FZ44" t="e">
        <f>AND(#REF!,"AAAAAG/3r7U=")</f>
        <v>#REF!</v>
      </c>
      <c r="GA44" t="e">
        <f>AND(#REF!,"AAAAAG/3r7Y=")</f>
        <v>#REF!</v>
      </c>
      <c r="GB44" t="e">
        <f>AND(#REF!,"AAAAAG/3r7c=")</f>
        <v>#REF!</v>
      </c>
      <c r="GC44" t="e">
        <f>AND(#REF!,"AAAAAG/3r7g=")</f>
        <v>#REF!</v>
      </c>
      <c r="GD44" t="e">
        <f>AND(#REF!,"AAAAAG/3r7k=")</f>
        <v>#REF!</v>
      </c>
      <c r="GE44" t="e">
        <f>AND(#REF!,"AAAAAG/3r7o=")</f>
        <v>#REF!</v>
      </c>
    </row>
    <row r="45" spans="1:256" x14ac:dyDescent="0.35">
      <c r="A45" t="e">
        <f>AND(Quices!#REF!,"AAAAAC/3vwA=")</f>
        <v>#REF!</v>
      </c>
      <c r="B45" t="e">
        <f>AND(Quices!#REF!,"AAAAAC/3vwE=")</f>
        <v>#REF!</v>
      </c>
      <c r="C45" t="e">
        <f>AND(Quices!#REF!,"AAAAAC/3vwI=")</f>
        <v>#REF!</v>
      </c>
      <c r="D45" t="e">
        <f>AND(Quices!#REF!,"AAAAAC/3vwM=")</f>
        <v>#REF!</v>
      </c>
      <c r="E45" t="e">
        <f>AND(Quices!#REF!,"AAAAAC/3vwQ=")</f>
        <v>#REF!</v>
      </c>
      <c r="F45" t="e">
        <f>AND(Quices!#REF!,"AAAAAC/3vwU=")</f>
        <v>#REF!</v>
      </c>
      <c r="G45" t="e">
        <f>AND(Quices!#REF!,"AAAAAC/3vwY=")</f>
        <v>#REF!</v>
      </c>
      <c r="H45" t="e">
        <f>AND(Quices!#REF!,"AAAAAC/3vwc=")</f>
        <v>#REF!</v>
      </c>
      <c r="I45" t="e">
        <f>AND(Quices!#REF!,"AAAAAC/3vwg=")</f>
        <v>#REF!</v>
      </c>
      <c r="J45" t="e">
        <f>AND(Quices!#REF!,"AAAAAC/3vwk=")</f>
        <v>#REF!</v>
      </c>
      <c r="K45" t="e">
        <f>AND(Quices!#REF!,"AAAAAC/3vwo=")</f>
        <v>#REF!</v>
      </c>
      <c r="L45" t="e">
        <f>AND(Quices!#REF!,"AAAAAC/3vws=")</f>
        <v>#REF!</v>
      </c>
      <c r="M45" t="e">
        <f>AND(Quices!#REF!,"AAAAAC/3vww=")</f>
        <v>#REF!</v>
      </c>
      <c r="N45" t="e">
        <f>AND(Quices!#REF!,"AAAAAC/3vw0=")</f>
        <v>#REF!</v>
      </c>
      <c r="O45" t="e">
        <f>AND(Quices!#REF!,"AAAAAC/3vw4=")</f>
        <v>#REF!</v>
      </c>
      <c r="P45" t="e">
        <f>AND(Quices!#REF!,"AAAAAC/3vw8=")</f>
        <v>#REF!</v>
      </c>
      <c r="Q45" t="e">
        <f>AND(Quices!#REF!,"AAAAAC/3vxA=")</f>
        <v>#REF!</v>
      </c>
      <c r="R45" t="e">
        <f>AND(Quices!#REF!,"AAAAAC/3vxE=")</f>
        <v>#REF!</v>
      </c>
      <c r="S45" t="e">
        <f>AND(Quices!#REF!,"AAAAAC/3vxI=")</f>
        <v>#REF!</v>
      </c>
      <c r="T45" t="e">
        <f>AND(Quices!#REF!,"AAAAAC/3vxM=")</f>
        <v>#REF!</v>
      </c>
      <c r="U45" t="e">
        <f>AND(Quices!#REF!,"AAAAAC/3vxQ=")</f>
        <v>#REF!</v>
      </c>
    </row>
    <row r="46" spans="1:256" x14ac:dyDescent="0.35">
      <c r="A46" t="e">
        <f>IF(#REF!,"AAAAAHfb+wA=",0)</f>
        <v>#REF!</v>
      </c>
      <c r="B46" t="e">
        <f>AND(#REF!,"AAAAAHfb+wE=")</f>
        <v>#REF!</v>
      </c>
      <c r="C46" t="e">
        <f>AND(#REF!,"AAAAAHfb+wI=")</f>
        <v>#REF!</v>
      </c>
      <c r="D46" t="e">
        <f>AND(#REF!,"AAAAAHfb+wM=")</f>
        <v>#REF!</v>
      </c>
      <c r="E46" t="e">
        <f>AND(#REF!,"AAAAAHfb+wQ=")</f>
        <v>#REF!</v>
      </c>
      <c r="F46" t="e">
        <f>AND(#REF!,"AAAAAHfb+wU=")</f>
        <v>#REF!</v>
      </c>
      <c r="G46" t="e">
        <f>AND(#REF!,"AAAAAHfb+wY=")</f>
        <v>#REF!</v>
      </c>
      <c r="H46" t="e">
        <f>AND(#REF!,"AAAAAHfb+wc=")</f>
        <v>#REF!</v>
      </c>
      <c r="I46" t="e">
        <f>AND(#REF!,"AAAAAHfb+wg=")</f>
        <v>#REF!</v>
      </c>
      <c r="J46" t="e">
        <f>AND(#REF!,"AAAAAHfb+wk=")</f>
        <v>#REF!</v>
      </c>
      <c r="K46" t="e">
        <f>AND(#REF!,"AAAAAHfb+wo=")</f>
        <v>#REF!</v>
      </c>
      <c r="L46" t="e">
        <f>AND(#REF!,"AAAAAHfb+ws=")</f>
        <v>#REF!</v>
      </c>
      <c r="M46" t="e">
        <f>AND(#REF!,"AAAAAHfb+ww=")</f>
        <v>#REF!</v>
      </c>
      <c r="N46" t="e">
        <f>AND(#REF!,"AAAAAHfb+w0=")</f>
        <v>#REF!</v>
      </c>
      <c r="O46" t="e">
        <f>AND(#REF!,"AAAAAHfb+w4=")</f>
        <v>#REF!</v>
      </c>
      <c r="P46" t="e">
        <f>AND(#REF!,"AAAAAHfb+w8=")</f>
        <v>#REF!</v>
      </c>
      <c r="Q46" t="e">
        <f>AND(#REF!,"AAAAAHfb+xA=")</f>
        <v>#REF!</v>
      </c>
      <c r="R46" t="e">
        <f>AND(#REF!,"AAAAAHfb+xE=")</f>
        <v>#REF!</v>
      </c>
      <c r="S46" t="e">
        <f>AND(#REF!,"AAAAAHfb+xI=")</f>
        <v>#REF!</v>
      </c>
      <c r="T46" t="e">
        <f>AND(#REF!,"AAAAAHfb+xM=")</f>
        <v>#REF!</v>
      </c>
      <c r="U46" t="e">
        <f>AND(#REF!,"AAAAAHfb+xQ=")</f>
        <v>#REF!</v>
      </c>
      <c r="V46" t="e">
        <f>AND(#REF!,"AAAAAHfb+xU=")</f>
        <v>#REF!</v>
      </c>
      <c r="W46" t="e">
        <f>AND(#REF!,"AAAAAHfb+xY=")</f>
        <v>#REF!</v>
      </c>
      <c r="X46" t="e">
        <f>AND(#REF!,"AAAAAHfb+xc=")</f>
        <v>#REF!</v>
      </c>
      <c r="Y46" t="e">
        <f>AND(#REF!,"AAAAAHfb+xg=")</f>
        <v>#REF!</v>
      </c>
      <c r="Z46" t="e">
        <f>AND(#REF!,"AAAAAHfb+xk=")</f>
        <v>#REF!</v>
      </c>
      <c r="AA46" t="e">
        <f>AND(#REF!,"AAAAAHfb+xo=")</f>
        <v>#REF!</v>
      </c>
      <c r="AB46" t="e">
        <f>AND(#REF!,"AAAAAHfb+xs=")</f>
        <v>#REF!</v>
      </c>
      <c r="AC46" t="e">
        <f>AND(#REF!,"AAAAAHfb+xw=")</f>
        <v>#REF!</v>
      </c>
      <c r="AD46" t="e">
        <f>AND(#REF!,"AAAAAHfb+x0=")</f>
        <v>#REF!</v>
      </c>
      <c r="AE46" t="e">
        <f>AND(#REF!,"AAAAAHfb+x4=")</f>
        <v>#REF!</v>
      </c>
      <c r="AF46" t="e">
        <f>AND(#REF!,"AAAAAHfb+x8=")</f>
        <v>#REF!</v>
      </c>
      <c r="AG46" t="e">
        <f>AND(#REF!,"AAAAAHfb+yA=")</f>
        <v>#REF!</v>
      </c>
      <c r="AH46" t="e">
        <f>IF(#REF!,"AAAAAHfb+yE=",0)</f>
        <v>#REF!</v>
      </c>
      <c r="AI46" t="e">
        <f>AND(#REF!,"AAAAAHfb+yI=")</f>
        <v>#REF!</v>
      </c>
      <c r="AJ46" t="e">
        <f>AND(#REF!,"AAAAAHfb+yM=")</f>
        <v>#REF!</v>
      </c>
      <c r="AK46" t="e">
        <f>AND(#REF!,"AAAAAHfb+yQ=")</f>
        <v>#REF!</v>
      </c>
      <c r="AL46" t="e">
        <f>AND(#REF!,"AAAAAHfb+yU=")</f>
        <v>#REF!</v>
      </c>
      <c r="AM46" t="e">
        <f>AND(#REF!,"AAAAAHfb+yY=")</f>
        <v>#REF!</v>
      </c>
      <c r="AN46" t="e">
        <f>AND(#REF!,"AAAAAHfb+yc=")</f>
        <v>#REF!</v>
      </c>
      <c r="AO46" t="e">
        <f>AND(#REF!,"AAAAAHfb+yg=")</f>
        <v>#REF!</v>
      </c>
      <c r="AP46" t="e">
        <f>AND(#REF!,"AAAAAHfb+yk=")</f>
        <v>#REF!</v>
      </c>
      <c r="AQ46" t="e">
        <f>AND(#REF!,"AAAAAHfb+yo=")</f>
        <v>#REF!</v>
      </c>
      <c r="AR46" t="e">
        <f>AND(#REF!,"AAAAAHfb+ys=")</f>
        <v>#REF!</v>
      </c>
      <c r="AS46" t="e">
        <f>AND(#REF!,"AAAAAHfb+yw=")</f>
        <v>#REF!</v>
      </c>
      <c r="AT46" t="e">
        <f>AND(#REF!,"AAAAAHfb+y0=")</f>
        <v>#REF!</v>
      </c>
      <c r="AU46" t="e">
        <f>AND(#REF!,"AAAAAHfb+y4=")</f>
        <v>#REF!</v>
      </c>
      <c r="AV46" t="e">
        <f>AND(#REF!,"AAAAAHfb+y8=")</f>
        <v>#REF!</v>
      </c>
      <c r="AW46" t="e">
        <f>AND(#REF!,"AAAAAHfb+zA=")</f>
        <v>#REF!</v>
      </c>
      <c r="AX46" t="e">
        <f>AND(#REF!,"AAAAAHfb+zE=")</f>
        <v>#REF!</v>
      </c>
      <c r="AY46" t="e">
        <f>AND(#REF!,"AAAAAHfb+zI=")</f>
        <v>#REF!</v>
      </c>
      <c r="AZ46" t="e">
        <f>AND(#REF!,"AAAAAHfb+zM=")</f>
        <v>#REF!</v>
      </c>
      <c r="BA46" t="e">
        <f>AND(#REF!,"AAAAAHfb+zQ=")</f>
        <v>#REF!</v>
      </c>
      <c r="BB46" t="e">
        <f>AND(#REF!,"AAAAAHfb+zU=")</f>
        <v>#REF!</v>
      </c>
      <c r="BC46" t="e">
        <f>AND(#REF!,"AAAAAHfb+zY=")</f>
        <v>#REF!</v>
      </c>
      <c r="BD46" t="e">
        <f>AND(#REF!,"AAAAAHfb+zc=")</f>
        <v>#REF!</v>
      </c>
      <c r="BE46" t="e">
        <f>AND(#REF!,"AAAAAHfb+zg=")</f>
        <v>#REF!</v>
      </c>
      <c r="BF46" t="e">
        <f>AND(#REF!,"AAAAAHfb+zk=")</f>
        <v>#REF!</v>
      </c>
      <c r="BG46" t="e">
        <f>AND(#REF!,"AAAAAHfb+zo=")</f>
        <v>#REF!</v>
      </c>
      <c r="BH46" t="e">
        <f>AND(#REF!,"AAAAAHfb+zs=")</f>
        <v>#REF!</v>
      </c>
      <c r="BI46" t="e">
        <f>AND(#REF!,"AAAAAHfb+zw=")</f>
        <v>#REF!</v>
      </c>
      <c r="BJ46" t="e">
        <f>AND(#REF!,"AAAAAHfb+z0=")</f>
        <v>#REF!</v>
      </c>
      <c r="BK46" t="e">
        <f>AND(#REF!,"AAAAAHfb+z4=")</f>
        <v>#REF!</v>
      </c>
      <c r="BL46" t="e">
        <f>AND(#REF!,"AAAAAHfb+z8=")</f>
        <v>#REF!</v>
      </c>
      <c r="BM46" t="e">
        <f>AND(#REF!,"AAAAAHfb+0A=")</f>
        <v>#REF!</v>
      </c>
      <c r="BN46" t="e">
        <f>AND(#REF!,"AAAAAHfb+0E=")</f>
        <v>#REF!</v>
      </c>
      <c r="BO46" t="e">
        <f>IF(#REF!,"AAAAAHfb+0I=",0)</f>
        <v>#REF!</v>
      </c>
      <c r="BP46" t="e">
        <f>AND(#REF!,"AAAAAHfb+0M=")</f>
        <v>#REF!</v>
      </c>
      <c r="BQ46" t="e">
        <f>AND(#REF!,"AAAAAHfb+0Q=")</f>
        <v>#REF!</v>
      </c>
      <c r="BR46" t="e">
        <f>AND(#REF!,"AAAAAHfb+0U=")</f>
        <v>#REF!</v>
      </c>
      <c r="BS46" t="e">
        <f>AND(#REF!,"AAAAAHfb+0Y=")</f>
        <v>#REF!</v>
      </c>
      <c r="BT46" t="e">
        <f>AND(#REF!,"AAAAAHfb+0c=")</f>
        <v>#REF!</v>
      </c>
      <c r="BU46" t="e">
        <f>AND(#REF!,"AAAAAHfb+0g=")</f>
        <v>#REF!</v>
      </c>
      <c r="BV46" t="e">
        <f>AND(#REF!,"AAAAAHfb+0k=")</f>
        <v>#REF!</v>
      </c>
      <c r="BW46" t="e">
        <f>AND(#REF!,"AAAAAHfb+0o=")</f>
        <v>#REF!</v>
      </c>
      <c r="BX46" t="e">
        <f>AND(#REF!,"AAAAAHfb+0s=")</f>
        <v>#REF!</v>
      </c>
      <c r="BY46" t="e">
        <f>AND(#REF!,"AAAAAHfb+0w=")</f>
        <v>#REF!</v>
      </c>
      <c r="BZ46" t="e">
        <f>AND(#REF!,"AAAAAHfb+00=")</f>
        <v>#REF!</v>
      </c>
      <c r="CA46" t="e">
        <f>AND(#REF!,"AAAAAHfb+04=")</f>
        <v>#REF!</v>
      </c>
      <c r="CB46" t="e">
        <f>AND(#REF!,"AAAAAHfb+08=")</f>
        <v>#REF!</v>
      </c>
      <c r="CC46" t="e">
        <f>AND(#REF!,"AAAAAHfb+1A=")</f>
        <v>#REF!</v>
      </c>
      <c r="CD46" t="e">
        <f>AND(#REF!,"AAAAAHfb+1E=")</f>
        <v>#REF!</v>
      </c>
      <c r="CE46" t="e">
        <f>AND(#REF!,"AAAAAHfb+1I=")</f>
        <v>#REF!</v>
      </c>
      <c r="CF46" t="e">
        <f>AND(#REF!,"AAAAAHfb+1M=")</f>
        <v>#REF!</v>
      </c>
      <c r="CG46" t="e">
        <f>AND(#REF!,"AAAAAHfb+1Q=")</f>
        <v>#REF!</v>
      </c>
      <c r="CH46" t="e">
        <f>AND(#REF!,"AAAAAHfb+1U=")</f>
        <v>#REF!</v>
      </c>
      <c r="CI46" t="e">
        <f>AND(#REF!,"AAAAAHfb+1Y=")</f>
        <v>#REF!</v>
      </c>
      <c r="CJ46" t="e">
        <f>AND(#REF!,"AAAAAHfb+1c=")</f>
        <v>#REF!</v>
      </c>
      <c r="CK46" t="e">
        <f>AND(#REF!,"AAAAAHfb+1g=")</f>
        <v>#REF!</v>
      </c>
      <c r="CL46" t="e">
        <f>AND(#REF!,"AAAAAHfb+1k=")</f>
        <v>#REF!</v>
      </c>
      <c r="CM46" t="e">
        <f>AND(#REF!,"AAAAAHfb+1o=")</f>
        <v>#REF!</v>
      </c>
      <c r="CN46" t="e">
        <f>AND(#REF!,"AAAAAHfb+1s=")</f>
        <v>#REF!</v>
      </c>
      <c r="CO46" t="e">
        <f>AND(#REF!,"AAAAAHfb+1w=")</f>
        <v>#REF!</v>
      </c>
      <c r="CP46" t="e">
        <f>AND(#REF!,"AAAAAHfb+10=")</f>
        <v>#REF!</v>
      </c>
      <c r="CQ46" t="e">
        <f>AND(#REF!,"AAAAAHfb+14=")</f>
        <v>#REF!</v>
      </c>
      <c r="CR46" t="e">
        <f>AND(#REF!,"AAAAAHfb+18=")</f>
        <v>#REF!</v>
      </c>
      <c r="CS46" t="e">
        <f>AND(#REF!,"AAAAAHfb+2A=")</f>
        <v>#REF!</v>
      </c>
      <c r="CT46" t="e">
        <f>AND(#REF!,"AAAAAHfb+2E=")</f>
        <v>#REF!</v>
      </c>
      <c r="CU46" t="e">
        <f>AND(#REF!,"AAAAAHfb+2I=")</f>
        <v>#REF!</v>
      </c>
      <c r="CV46" t="e">
        <f>IF(#REF!,"AAAAAHfb+2M=",0)</f>
        <v>#REF!</v>
      </c>
      <c r="CW46" t="e">
        <f>AND(#REF!,"AAAAAHfb+2Q=")</f>
        <v>#REF!</v>
      </c>
      <c r="CX46" t="e">
        <f>AND(#REF!,"AAAAAHfb+2U=")</f>
        <v>#REF!</v>
      </c>
      <c r="CY46" t="e">
        <f>AND(#REF!,"AAAAAHfb+2Y=")</f>
        <v>#REF!</v>
      </c>
      <c r="CZ46" t="e">
        <f>AND(#REF!,"AAAAAHfb+2c=")</f>
        <v>#REF!</v>
      </c>
      <c r="DA46" t="e">
        <f>AND(#REF!,"AAAAAHfb+2g=")</f>
        <v>#REF!</v>
      </c>
      <c r="DB46" t="e">
        <f>AND(#REF!,"AAAAAHfb+2k=")</f>
        <v>#REF!</v>
      </c>
      <c r="DC46" t="e">
        <f>AND(#REF!,"AAAAAHfb+2o=")</f>
        <v>#REF!</v>
      </c>
      <c r="DD46" t="e">
        <f>AND(#REF!,"AAAAAHfb+2s=")</f>
        <v>#REF!</v>
      </c>
      <c r="DE46" t="e">
        <f>AND(#REF!,"AAAAAHfb+2w=")</f>
        <v>#REF!</v>
      </c>
      <c r="DF46" t="e">
        <f>AND(#REF!,"AAAAAHfb+20=")</f>
        <v>#REF!</v>
      </c>
      <c r="DG46" t="e">
        <f>AND(#REF!,"AAAAAHfb+24=")</f>
        <v>#REF!</v>
      </c>
      <c r="DH46" t="e">
        <f>AND(#REF!,"AAAAAHfb+28=")</f>
        <v>#REF!</v>
      </c>
      <c r="DI46" t="e">
        <f>AND(#REF!,"AAAAAHfb+3A=")</f>
        <v>#REF!</v>
      </c>
      <c r="DJ46" t="e">
        <f>AND(#REF!,"AAAAAHfb+3E=")</f>
        <v>#REF!</v>
      </c>
      <c r="DK46" t="e">
        <f>AND(#REF!,"AAAAAHfb+3I=")</f>
        <v>#REF!</v>
      </c>
      <c r="DL46" t="e">
        <f>AND(#REF!,"AAAAAHfb+3M=")</f>
        <v>#REF!</v>
      </c>
      <c r="DM46" t="e">
        <f>AND(#REF!,"AAAAAHfb+3Q=")</f>
        <v>#REF!</v>
      </c>
      <c r="DN46" t="e">
        <f>AND(#REF!,"AAAAAHfb+3U=")</f>
        <v>#REF!</v>
      </c>
      <c r="DO46" t="e">
        <f>AND(#REF!,"AAAAAHfb+3Y=")</f>
        <v>#REF!</v>
      </c>
      <c r="DP46" t="e">
        <f>AND(#REF!,"AAAAAHfb+3c=")</f>
        <v>#REF!</v>
      </c>
      <c r="DQ46" t="e">
        <f>AND(#REF!,"AAAAAHfb+3g=")</f>
        <v>#REF!</v>
      </c>
      <c r="DR46" t="e">
        <f>AND(#REF!,"AAAAAHfb+3k=")</f>
        <v>#REF!</v>
      </c>
      <c r="DS46" t="e">
        <f>AND(#REF!,"AAAAAHfb+3o=")</f>
        <v>#REF!</v>
      </c>
      <c r="DT46" t="e">
        <f>AND(#REF!,"AAAAAHfb+3s=")</f>
        <v>#REF!</v>
      </c>
      <c r="DU46" t="e">
        <f>AND(#REF!,"AAAAAHfb+3w=")</f>
        <v>#REF!</v>
      </c>
      <c r="DV46" t="e">
        <f>AND(#REF!,"AAAAAHfb+30=")</f>
        <v>#REF!</v>
      </c>
      <c r="DW46" t="e">
        <f>AND(#REF!,"AAAAAHfb+34=")</f>
        <v>#REF!</v>
      </c>
      <c r="DX46" t="e">
        <f>AND(#REF!,"AAAAAHfb+38=")</f>
        <v>#REF!</v>
      </c>
      <c r="DY46" t="e">
        <f>AND(#REF!,"AAAAAHfb+4A=")</f>
        <v>#REF!</v>
      </c>
      <c r="DZ46" t="e">
        <f>AND(#REF!,"AAAAAHfb+4E=")</f>
        <v>#REF!</v>
      </c>
      <c r="EA46" t="e">
        <f>AND(#REF!,"AAAAAHfb+4I=")</f>
        <v>#REF!</v>
      </c>
      <c r="EB46" t="e">
        <f>AND(#REF!,"AAAAAHfb+4M=")</f>
        <v>#REF!</v>
      </c>
      <c r="EC46" t="e">
        <f>IF(#REF!,"AAAAAHfb+4Q=",0)</f>
        <v>#REF!</v>
      </c>
      <c r="ED46" t="e">
        <f>AND(#REF!,"AAAAAHfb+4U=")</f>
        <v>#REF!</v>
      </c>
      <c r="EE46" t="e">
        <f>AND(#REF!,"AAAAAHfb+4Y=")</f>
        <v>#REF!</v>
      </c>
      <c r="EF46" t="e">
        <f>AND(#REF!,"AAAAAHfb+4c=")</f>
        <v>#REF!</v>
      </c>
      <c r="EG46" t="e">
        <f>AND(#REF!,"AAAAAHfb+4g=")</f>
        <v>#REF!</v>
      </c>
      <c r="EH46" t="e">
        <f>AND(#REF!,"AAAAAHfb+4k=")</f>
        <v>#REF!</v>
      </c>
      <c r="EI46" t="e">
        <f>AND(#REF!,"AAAAAHfb+4o=")</f>
        <v>#REF!</v>
      </c>
      <c r="EJ46" t="e">
        <f>AND(#REF!,"AAAAAHfb+4s=")</f>
        <v>#REF!</v>
      </c>
      <c r="EK46" t="e">
        <f>AND(#REF!,"AAAAAHfb+4w=")</f>
        <v>#REF!</v>
      </c>
      <c r="EL46" t="e">
        <f>AND(#REF!,"AAAAAHfb+40=")</f>
        <v>#REF!</v>
      </c>
      <c r="EM46" t="e">
        <f>AND(#REF!,"AAAAAHfb+44=")</f>
        <v>#REF!</v>
      </c>
      <c r="EN46" t="e">
        <f>AND(#REF!,"AAAAAHfb+48=")</f>
        <v>#REF!</v>
      </c>
      <c r="EO46" t="e">
        <f>AND(#REF!,"AAAAAHfb+5A=")</f>
        <v>#REF!</v>
      </c>
      <c r="EP46" t="e">
        <f>AND(#REF!,"AAAAAHfb+5E=")</f>
        <v>#REF!</v>
      </c>
      <c r="EQ46" t="e">
        <f>AND(#REF!,"AAAAAHfb+5I=")</f>
        <v>#REF!</v>
      </c>
      <c r="ER46" t="e">
        <f>AND(#REF!,"AAAAAHfb+5M=")</f>
        <v>#REF!</v>
      </c>
      <c r="ES46" t="e">
        <f>AND(#REF!,"AAAAAHfb+5Q=")</f>
        <v>#REF!</v>
      </c>
      <c r="ET46" t="e">
        <f>AND(#REF!,"AAAAAHfb+5U=")</f>
        <v>#REF!</v>
      </c>
      <c r="EU46" t="e">
        <f>AND(#REF!,"AAAAAHfb+5Y=")</f>
        <v>#REF!</v>
      </c>
      <c r="EV46" t="e">
        <f>AND(#REF!,"AAAAAHfb+5c=")</f>
        <v>#REF!</v>
      </c>
      <c r="EW46" t="e">
        <f>AND(#REF!,"AAAAAHfb+5g=")</f>
        <v>#REF!</v>
      </c>
      <c r="EX46" t="e">
        <f>AND(#REF!,"AAAAAHfb+5k=")</f>
        <v>#REF!</v>
      </c>
      <c r="EY46" t="e">
        <f>AND(#REF!,"AAAAAHfb+5o=")</f>
        <v>#REF!</v>
      </c>
      <c r="EZ46" t="e">
        <f>AND(#REF!,"AAAAAHfb+5s=")</f>
        <v>#REF!</v>
      </c>
      <c r="FA46" t="e">
        <f>AND(#REF!,"AAAAAHfb+5w=")</f>
        <v>#REF!</v>
      </c>
      <c r="FB46" t="e">
        <f>AND(#REF!,"AAAAAHfb+50=")</f>
        <v>#REF!</v>
      </c>
      <c r="FC46" t="e">
        <f>AND(#REF!,"AAAAAHfb+54=")</f>
        <v>#REF!</v>
      </c>
      <c r="FD46" t="e">
        <f>AND(#REF!,"AAAAAHfb+58=")</f>
        <v>#REF!</v>
      </c>
      <c r="FE46" t="e">
        <f>AND(#REF!,"AAAAAHfb+6A=")</f>
        <v>#REF!</v>
      </c>
      <c r="FF46" t="e">
        <f>AND(#REF!,"AAAAAHfb+6E=")</f>
        <v>#REF!</v>
      </c>
      <c r="FG46" t="e">
        <f>AND(#REF!,"AAAAAHfb+6I=")</f>
        <v>#REF!</v>
      </c>
      <c r="FH46" t="e">
        <f>AND(#REF!,"AAAAAHfb+6M=")</f>
        <v>#REF!</v>
      </c>
      <c r="FI46" t="e">
        <f>AND(#REF!,"AAAAAHfb+6Q=")</f>
        <v>#REF!</v>
      </c>
      <c r="FJ46" t="e">
        <f>IF(#REF!,"AAAAAHfb+6U=",0)</f>
        <v>#REF!</v>
      </c>
      <c r="FK46" t="e">
        <f>AND(#REF!,"AAAAAHfb+6Y=")</f>
        <v>#REF!</v>
      </c>
      <c r="FL46" t="e">
        <f>AND(#REF!,"AAAAAHfb+6c=")</f>
        <v>#REF!</v>
      </c>
      <c r="FM46" t="e">
        <f>AND(#REF!,"AAAAAHfb+6g=")</f>
        <v>#REF!</v>
      </c>
      <c r="FN46" t="e">
        <f>AND(#REF!,"AAAAAHfb+6k=")</f>
        <v>#REF!</v>
      </c>
      <c r="FO46" t="e">
        <f>AND(#REF!,"AAAAAHfb+6o=")</f>
        <v>#REF!</v>
      </c>
      <c r="FP46" t="e">
        <f>AND(#REF!,"AAAAAHfb+6s=")</f>
        <v>#REF!</v>
      </c>
      <c r="FQ46" t="e">
        <f>AND(#REF!,"AAAAAHfb+6w=")</f>
        <v>#REF!</v>
      </c>
      <c r="FR46" t="e">
        <f>AND(#REF!,"AAAAAHfb+60=")</f>
        <v>#REF!</v>
      </c>
      <c r="FS46" t="e">
        <f>AND(#REF!,"AAAAAHfb+64=")</f>
        <v>#REF!</v>
      </c>
      <c r="FT46" t="e">
        <f>AND(#REF!,"AAAAAHfb+68=")</f>
        <v>#REF!</v>
      </c>
      <c r="FU46" t="e">
        <f>AND(#REF!,"AAAAAHfb+7A=")</f>
        <v>#REF!</v>
      </c>
      <c r="FV46" t="e">
        <f>AND(#REF!,"AAAAAHfb+7E=")</f>
        <v>#REF!</v>
      </c>
      <c r="FW46" t="e">
        <f>AND(#REF!,"AAAAAHfb+7I=")</f>
        <v>#REF!</v>
      </c>
      <c r="FX46" t="e">
        <f>AND(#REF!,"AAAAAHfb+7M=")</f>
        <v>#REF!</v>
      </c>
      <c r="FY46" t="e">
        <f>AND(#REF!,"AAAAAHfb+7Q=")</f>
        <v>#REF!</v>
      </c>
      <c r="FZ46" t="e">
        <f>AND(#REF!,"AAAAAHfb+7U=")</f>
        <v>#REF!</v>
      </c>
      <c r="GA46" t="e">
        <f>AND(#REF!,"AAAAAHfb+7Y=")</f>
        <v>#REF!</v>
      </c>
      <c r="GB46" t="e">
        <f>AND(#REF!,"AAAAAHfb+7c=")</f>
        <v>#REF!</v>
      </c>
      <c r="GC46" t="e">
        <f>AND(#REF!,"AAAAAHfb+7g=")</f>
        <v>#REF!</v>
      </c>
      <c r="GD46" t="e">
        <f>AND(#REF!,"AAAAAHfb+7k=")</f>
        <v>#REF!</v>
      </c>
      <c r="GE46" t="e">
        <f>AND(#REF!,"AAAAAHfb+7o=")</f>
        <v>#REF!</v>
      </c>
      <c r="GF46" t="e">
        <f>AND(#REF!,"AAAAAHfb+7s=")</f>
        <v>#REF!</v>
      </c>
      <c r="GG46" t="e">
        <f>AND(#REF!,"AAAAAHfb+7w=")</f>
        <v>#REF!</v>
      </c>
      <c r="GH46" t="e">
        <f>AND(#REF!,"AAAAAHfb+70=")</f>
        <v>#REF!</v>
      </c>
      <c r="GI46" t="e">
        <f>AND(#REF!,"AAAAAHfb+74=")</f>
        <v>#REF!</v>
      </c>
      <c r="GJ46" t="e">
        <f>AND(#REF!,"AAAAAHfb+78=")</f>
        <v>#REF!</v>
      </c>
      <c r="GK46" t="e">
        <f>AND(#REF!,"AAAAAHfb+8A=")</f>
        <v>#REF!</v>
      </c>
      <c r="GL46" t="e">
        <f>AND(#REF!,"AAAAAHfb+8E=")</f>
        <v>#REF!</v>
      </c>
      <c r="GM46" t="e">
        <f>AND(#REF!,"AAAAAHfb+8I=")</f>
        <v>#REF!</v>
      </c>
      <c r="GN46" t="e">
        <f>AND(#REF!,"AAAAAHfb+8M=")</f>
        <v>#REF!</v>
      </c>
      <c r="GO46" t="e">
        <f>AND(#REF!,"AAAAAHfb+8Q=")</f>
        <v>#REF!</v>
      </c>
      <c r="GP46" t="e">
        <f>AND(#REF!,"AAAAAHfb+8U=")</f>
        <v>#REF!</v>
      </c>
      <c r="GQ46" t="e">
        <f>IF(#REF!,"AAAAAHfb+8Y=",0)</f>
        <v>#REF!</v>
      </c>
      <c r="GR46" t="e">
        <f>AND(#REF!,"AAAAAHfb+8c=")</f>
        <v>#REF!</v>
      </c>
      <c r="GS46" t="e">
        <f>AND(#REF!,"AAAAAHfb+8g=")</f>
        <v>#REF!</v>
      </c>
      <c r="GT46" t="e">
        <f>AND(#REF!,"AAAAAHfb+8k=")</f>
        <v>#REF!</v>
      </c>
      <c r="GU46" t="e">
        <f>AND(#REF!,"AAAAAHfb+8o=")</f>
        <v>#REF!</v>
      </c>
      <c r="GV46" t="e">
        <f>AND(#REF!,"AAAAAHfb+8s=")</f>
        <v>#REF!</v>
      </c>
      <c r="GW46" t="e">
        <f>AND(#REF!,"AAAAAHfb+8w=")</f>
        <v>#REF!</v>
      </c>
      <c r="GX46" t="e">
        <f>AND(#REF!,"AAAAAHfb+80=")</f>
        <v>#REF!</v>
      </c>
      <c r="GY46" t="e">
        <f>AND(#REF!,"AAAAAHfb+84=")</f>
        <v>#REF!</v>
      </c>
      <c r="GZ46" t="e">
        <f>AND(#REF!,"AAAAAHfb+88=")</f>
        <v>#REF!</v>
      </c>
      <c r="HA46" t="e">
        <f>AND(#REF!,"AAAAAHfb+9A=")</f>
        <v>#REF!</v>
      </c>
      <c r="HB46" t="e">
        <f>AND(#REF!,"AAAAAHfb+9E=")</f>
        <v>#REF!</v>
      </c>
      <c r="HC46" t="e">
        <f>AND(#REF!,"AAAAAHfb+9I=")</f>
        <v>#REF!</v>
      </c>
      <c r="HD46" t="e">
        <f>AND(#REF!,"AAAAAHfb+9M=")</f>
        <v>#REF!</v>
      </c>
      <c r="HE46" t="e">
        <f>AND(#REF!,"AAAAAHfb+9Q=")</f>
        <v>#REF!</v>
      </c>
      <c r="HF46" t="e">
        <f>AND(#REF!,"AAAAAHfb+9U=")</f>
        <v>#REF!</v>
      </c>
      <c r="HG46" t="e">
        <f>AND(#REF!,"AAAAAHfb+9Y=")</f>
        <v>#REF!</v>
      </c>
      <c r="HH46" t="e">
        <f>AND(#REF!,"AAAAAHfb+9c=")</f>
        <v>#REF!</v>
      </c>
      <c r="HI46" t="e">
        <f>AND(#REF!,"AAAAAHfb+9g=")</f>
        <v>#REF!</v>
      </c>
      <c r="HJ46" t="e">
        <f>AND(#REF!,"AAAAAHfb+9k=")</f>
        <v>#REF!</v>
      </c>
      <c r="HK46" t="e">
        <f>AND(#REF!,"AAAAAHfb+9o=")</f>
        <v>#REF!</v>
      </c>
      <c r="HL46" t="e">
        <f>AND(#REF!,"AAAAAHfb+9s=")</f>
        <v>#REF!</v>
      </c>
      <c r="HM46" t="e">
        <f>AND(#REF!,"AAAAAHfb+9w=")</f>
        <v>#REF!</v>
      </c>
      <c r="HN46" t="e">
        <f>AND(#REF!,"AAAAAHfb+90=")</f>
        <v>#REF!</v>
      </c>
      <c r="HO46" t="e">
        <f>AND(#REF!,"AAAAAHfb+94=")</f>
        <v>#REF!</v>
      </c>
      <c r="HP46" t="e">
        <f>AND(#REF!,"AAAAAHfb+98=")</f>
        <v>#REF!</v>
      </c>
      <c r="HQ46" t="e">
        <f>AND(#REF!,"AAAAAHfb++A=")</f>
        <v>#REF!</v>
      </c>
      <c r="HR46" t="e">
        <f>AND(#REF!,"AAAAAHfb++E=")</f>
        <v>#REF!</v>
      </c>
      <c r="HS46" t="e">
        <f>AND(#REF!,"AAAAAHfb++I=")</f>
        <v>#REF!</v>
      </c>
      <c r="HT46" t="e">
        <f>AND(#REF!,"AAAAAHfb++M=")</f>
        <v>#REF!</v>
      </c>
      <c r="HU46" t="e">
        <f>AND(#REF!,"AAAAAHfb++Q=")</f>
        <v>#REF!</v>
      </c>
      <c r="HV46" t="e">
        <f>AND(#REF!,"AAAAAHfb++U=")</f>
        <v>#REF!</v>
      </c>
      <c r="HW46" t="e">
        <f>AND(#REF!,"AAAAAHfb++Y=")</f>
        <v>#REF!</v>
      </c>
      <c r="HX46" t="b">
        <f>AND(AprendizajeColaborativo!B19,"AAAAAHfb++c=")</f>
        <v>1</v>
      </c>
      <c r="HY46" t="b">
        <f>AND(AprendizajeColaborativo!C19,"AAAAAHfb++g=")</f>
        <v>1</v>
      </c>
      <c r="HZ46" t="b">
        <f>AND(AprendizajeColaborativo!D19,"AAAAAHfb++k=")</f>
        <v>1</v>
      </c>
      <c r="IA46" t="b">
        <f>AND(AprendizajeColaborativo!E19,"AAAAAHfb++o=")</f>
        <v>1</v>
      </c>
      <c r="IB46" t="b">
        <f>AND(AprendizajeColaborativo!F19,"AAAAAHfb++s=")</f>
        <v>1</v>
      </c>
      <c r="IC46" t="b">
        <f>AND(AprendizajeColaborativo!B20,"AAAAAHfb++w=")</f>
        <v>1</v>
      </c>
      <c r="ID46" t="b">
        <f>AND(AprendizajeColaborativo!C20,"AAAAAHfb++0=")</f>
        <v>1</v>
      </c>
      <c r="IE46" t="b">
        <f>AND(AprendizajeColaborativo!D20,"AAAAAHfb++4=")</f>
        <v>1</v>
      </c>
      <c r="IF46" t="b">
        <f>AND(AprendizajeColaborativo!E20,"AAAAAHfb++8=")</f>
        <v>1</v>
      </c>
      <c r="IG46" t="b">
        <f>AND(AprendizajeColaborativo!F20,"AAAAAHfb+/A=")</f>
        <v>1</v>
      </c>
      <c r="IH46" t="e">
        <f>AND(AprendizajeColaborativo!#REF!,"AAAAAHfb+/E=")</f>
        <v>#REF!</v>
      </c>
      <c r="II46" t="e">
        <f>AND(AprendizajeColaborativo!#REF!,"AAAAAHfb+/I=")</f>
        <v>#REF!</v>
      </c>
      <c r="IJ46" t="e">
        <f>AND(AprendizajeColaborativo!#REF!,"AAAAAHfb+/M=")</f>
        <v>#REF!</v>
      </c>
      <c r="IK46" t="e">
        <f>AND(AprendizajeColaborativo!#REF!,"AAAAAHfb+/Q=")</f>
        <v>#REF!</v>
      </c>
      <c r="IL46" t="e">
        <f>AND(AprendizajeColaborativo!#REF!,"AAAAAHfb+/U=")</f>
        <v>#REF!</v>
      </c>
      <c r="IM46" t="e">
        <f>AND(AprendizajeColaborativo!#REF!,"AAAAAHfb+/Y=")</f>
        <v>#REF!</v>
      </c>
      <c r="IN46" t="e">
        <f>AND(AprendizajeColaborativo!#REF!,"AAAAAHfb+/c=")</f>
        <v>#REF!</v>
      </c>
      <c r="IO46" t="e">
        <f>AND(AprendizajeColaborativo!#REF!,"AAAAAHfb+/g=")</f>
        <v>#REF!</v>
      </c>
      <c r="IP46" t="e">
        <f>AND(AprendizajeColaborativo!#REF!,"AAAAAHfb+/k=")</f>
        <v>#REF!</v>
      </c>
      <c r="IQ46" t="e">
        <f>AND(AprendizajeColaborativo!#REF!,"AAAAAHfb+/o=")</f>
        <v>#REF!</v>
      </c>
      <c r="IR46" t="e">
        <f>AND(AprendizajeColaborativo!#REF!,"AAAAAHfb+/s=")</f>
        <v>#REF!</v>
      </c>
      <c r="IS46" t="e">
        <f>AND(AprendizajeColaborativo!#REF!,"AAAAAHfb+/w=")</f>
        <v>#REF!</v>
      </c>
      <c r="IT46" t="e">
        <f>AND(AprendizajeColaborativo!#REF!,"AAAAAHfb+/0=")</f>
        <v>#REF!</v>
      </c>
      <c r="IU46" t="e">
        <f>AND(AprendizajeColaborativo!#REF!,"AAAAAHfb+/4=")</f>
        <v>#REF!</v>
      </c>
      <c r="IV46" t="e">
        <f>AND(AprendizajeColaborativo!#REF!,"AAAAAHfb+/8=")</f>
        <v>#REF!</v>
      </c>
    </row>
    <row r="47" spans="1:256" x14ac:dyDescent="0.35">
      <c r="A47" t="e">
        <f>AND(AprendizajeColaborativo!#REF!,"AAAAADWb/wA=")</f>
        <v>#REF!</v>
      </c>
      <c r="B47" t="e">
        <f>AND(AprendizajeColaborativo!#REF!,"AAAAADWb/wE=")</f>
        <v>#REF!</v>
      </c>
      <c r="C47" t="e">
        <f>AND(AprendizajeColaborativo!#REF!,"AAAAADWb/wI=")</f>
        <v>#REF!</v>
      </c>
      <c r="D47" t="e">
        <f>AND(AprendizajeColaborativo!#REF!,"AAAAADWb/wM=")</f>
        <v>#REF!</v>
      </c>
      <c r="E47" t="e">
        <f>AND(AprendizajeColaborativo!#REF!,"AAAAADWb/wQ=")</f>
        <v>#REF!</v>
      </c>
      <c r="F47" t="e">
        <f>AND(AprendizajeColaborativo!#REF!,"AAAAADWb/wU=")</f>
        <v>#REF!</v>
      </c>
      <c r="G47" t="e">
        <f>AND(AprendizajeColaborativo!#REF!,"AAAAADWb/wY=")</f>
        <v>#REF!</v>
      </c>
      <c r="H47" t="e">
        <f>AND(AprendizajeColaborativo!#REF!,"AAAAADWb/wc=")</f>
        <v>#REF!</v>
      </c>
      <c r="I47" t="e">
        <f>AND(AprendizajeColaborativo!#REF!,"AAAAADWb/wg=")</f>
        <v>#REF!</v>
      </c>
      <c r="J47" t="e">
        <f>AND(AprendizajeColaborativo!#REF!,"AAAAADWb/wk=")</f>
        <v>#REF!</v>
      </c>
      <c r="K47" t="e">
        <f>AND(Proyecto!#REF!,"AAAAADWb/wo=")</f>
        <v>#REF!</v>
      </c>
      <c r="L47" t="e">
        <f>AND(Proyecto!#REF!,"AAAAADWb/ws=")</f>
        <v>#REF!</v>
      </c>
      <c r="M47" t="e">
        <f>AND(Proyecto!#REF!,"AAAAADWb/ww=")</f>
        <v>#REF!</v>
      </c>
      <c r="N47" t="e">
        <f>AND(Proyecto!#REF!,"AAAAADWb/w0=")</f>
        <v>#REF!</v>
      </c>
      <c r="O47" t="e">
        <f>AND(Proyecto!#REF!,"AAAAADWb/w4=")</f>
        <v>#REF!</v>
      </c>
      <c r="P47" t="e">
        <f>AND(Proyecto!#REF!,"AAAAADWb/w8=")</f>
        <v>#REF!</v>
      </c>
      <c r="Q47" t="e">
        <f>AND(Proyecto!#REF!,"AAAAADWb/xA=")</f>
        <v>#REF!</v>
      </c>
      <c r="R47" t="e">
        <f>AND(Proyecto!#REF!,"AAAAADWb/xE=")</f>
        <v>#REF!</v>
      </c>
      <c r="S47" t="e">
        <f>AND(Proyecto!#REF!,"AAAAADWb/xI=")</f>
        <v>#REF!</v>
      </c>
      <c r="T47" t="e">
        <f>AND(Proyecto!#REF!,"AAAAADWb/xM=")</f>
        <v>#REF!</v>
      </c>
      <c r="U47" t="e">
        <f>AND(Proyecto!#REF!,"AAAAADWb/xQ=")</f>
        <v>#REF!</v>
      </c>
      <c r="V47" t="e">
        <f>AND(Proyecto!#REF!,"AAAAADWb/xU=")</f>
        <v>#REF!</v>
      </c>
      <c r="W47" t="e">
        <f>AND(Proyecto!#REF!,"AAAAADWb/xY=")</f>
        <v>#REF!</v>
      </c>
      <c r="X47" t="e">
        <f>AND(Proyecto!#REF!,"AAAAADWb/xc=")</f>
        <v>#REF!</v>
      </c>
      <c r="Y47" t="e">
        <f>AND(Proyecto!#REF!,"AAAAADWb/xg=")</f>
        <v>#REF!</v>
      </c>
      <c r="Z47" t="e">
        <f>AND(Proyecto!#REF!,"AAAAADWb/xk=")</f>
        <v>#REF!</v>
      </c>
      <c r="AA47" t="e">
        <f>AND(Proyecto!#REF!,"AAAAADWb/xo=")</f>
        <v>#REF!</v>
      </c>
      <c r="AB47" t="e">
        <f>AND(Proyecto!#REF!,"AAAAADWb/xs=")</f>
        <v>#REF!</v>
      </c>
      <c r="AC47" t="e">
        <f>AND(Proyecto!#REF!,"AAAAADWb/xw=")</f>
        <v>#REF!</v>
      </c>
      <c r="AD47" t="e">
        <f>AND(Proyecto!#REF!,"AAAAADWb/x0=")</f>
        <v>#REF!</v>
      </c>
      <c r="AE47" t="e">
        <f>AND(Proyecto!#REF!,"AAAAADWb/x4=")</f>
        <v>#REF!</v>
      </c>
      <c r="AF47" t="e">
        <f>AND(Proyecto!#REF!,"AAAAADWb/x8=")</f>
        <v>#REF!</v>
      </c>
      <c r="AG47" t="e">
        <f>AND(Proyecto!#REF!,"AAAAADWb/yA=")</f>
        <v>#REF!</v>
      </c>
      <c r="AH47" t="e">
        <f>AND(Proyecto!#REF!,"AAAAADWb/yE=")</f>
        <v>#REF!</v>
      </c>
      <c r="AI47" t="e">
        <f>AND(Proyecto!#REF!,"AAAAADWb/yI=")</f>
        <v>#REF!</v>
      </c>
      <c r="AJ47" t="e">
        <f>AND(Proyecto!#REF!,"AAAAADWb/yM=")</f>
        <v>#REF!</v>
      </c>
      <c r="AK47" t="e">
        <f>AND(Proyecto!#REF!,"AAAAADWb/yQ=")</f>
        <v>#REF!</v>
      </c>
      <c r="AL47" t="e">
        <f>AND(Proyecto!#REF!,"AAAAADWb/yU=")</f>
        <v>#REF!</v>
      </c>
      <c r="AM47" t="e">
        <f>AND(Proyecto!#REF!,"AAAAADWb/yY=")</f>
        <v>#REF!</v>
      </c>
      <c r="AN47" t="e">
        <f>AND(Proyecto!#REF!,"AAAAADWb/yc=")</f>
        <v>#REF!</v>
      </c>
      <c r="AO47" t="e">
        <f>AND(Proyecto!#REF!,"AAAAADWb/yg=")</f>
        <v>#REF!</v>
      </c>
      <c r="AP47" t="e">
        <f>AND(Proyecto!#REF!,"AAAAADWb/yk=")</f>
        <v>#REF!</v>
      </c>
      <c r="AQ47" t="e">
        <f>AND(Proyecto!#REF!,"AAAAADWb/yo=")</f>
        <v>#REF!</v>
      </c>
      <c r="AR47" t="e">
        <f>AND(Proyecto!#REF!,"AAAAADWb/ys=")</f>
        <v>#REF!</v>
      </c>
      <c r="AS47" t="e">
        <f>AND(Proyecto!#REF!,"AAAAADWb/yw=")</f>
        <v>#REF!</v>
      </c>
      <c r="AT47" t="e">
        <f>AND(Proyecto!#REF!,"AAAAADWb/y0=")</f>
        <v>#REF!</v>
      </c>
      <c r="AU47" t="e">
        <f>AND(Proyecto!#REF!,"AAAAADWb/y4=")</f>
        <v>#REF!</v>
      </c>
      <c r="AV47" t="e">
        <f>AND(Proyecto!#REF!,"AAAAADWb/y8=")</f>
        <v>#REF!</v>
      </c>
      <c r="AW47" t="e">
        <f>AND(Proyecto!#REF!,"AAAAADWb/zA=")</f>
        <v>#REF!</v>
      </c>
      <c r="AX47" t="e">
        <f>AND(Proyecto!#REF!,"AAAAADWb/zE=")</f>
        <v>#REF!</v>
      </c>
      <c r="AY47" t="e">
        <f>AND(Proyecto!#REF!,"AAAAADWb/zI=")</f>
        <v>#REF!</v>
      </c>
      <c r="AZ47" t="e">
        <f>AND(Proyecto!#REF!,"AAAAADWb/zM=")</f>
        <v>#REF!</v>
      </c>
      <c r="BA47" t="e">
        <f>AND(Proyecto!#REF!,"AAAAADWb/zQ=")</f>
        <v>#REF!</v>
      </c>
      <c r="BB47" t="e">
        <f>AND(Proyecto!#REF!,"AAAAADWb/zU=")</f>
        <v>#REF!</v>
      </c>
      <c r="BC47" t="e">
        <f>AND(Proyecto!#REF!,"AAAAADWb/zY=")</f>
        <v>#REF!</v>
      </c>
      <c r="BD47" t="e">
        <f>AND(Proyecto!#REF!,"AAAAADWb/zc=")</f>
        <v>#REF!</v>
      </c>
      <c r="BE47" t="e">
        <f>AND(Proyecto!#REF!,"AAAAADWb/zg=")</f>
        <v>#REF!</v>
      </c>
      <c r="BF47" t="e">
        <f>AND(Proyecto!#REF!,"AAAAADWb/zk=")</f>
        <v>#REF!</v>
      </c>
      <c r="BG47" t="e">
        <f>AND(Proyecto!#REF!,"AAAAADWb/zo=")</f>
        <v>#REF!</v>
      </c>
    </row>
    <row r="48" spans="1:256" x14ac:dyDescent="0.35">
      <c r="A48" t="e">
        <f>AND(#REF!,"AAAAACP/3gA=")</f>
        <v>#REF!</v>
      </c>
      <c r="B48" t="e">
        <f>AND(#REF!,"AAAAACP/3gE=")</f>
        <v>#REF!</v>
      </c>
      <c r="C48" t="e">
        <f>AND(#REF!,"AAAAACP/3gI=")</f>
        <v>#REF!</v>
      </c>
      <c r="D48" t="e">
        <f>AND(#REF!,"AAAAACP/3gM=")</f>
        <v>#REF!</v>
      </c>
      <c r="E48" t="e">
        <f>AND(#REF!,"AAAAACP/3gQ=")</f>
        <v>#REF!</v>
      </c>
      <c r="F48" t="e">
        <f>AND(#REF!,"AAAAACP/3gU=")</f>
        <v>#REF!</v>
      </c>
      <c r="G48" t="e">
        <f>AND(#REF!,"AAAAACP/3gY=")</f>
        <v>#REF!</v>
      </c>
      <c r="H48" t="e">
        <f>AND(#REF!,"AAAAACP/3gc=")</f>
        <v>#REF!</v>
      </c>
      <c r="I48" t="e">
        <f>AND(#REF!,"AAAAACP/3gg=")</f>
        <v>#REF!</v>
      </c>
      <c r="J48" t="e">
        <f>AND(#REF!,"AAAAACP/3gk=")</f>
        <v>#REF!</v>
      </c>
      <c r="K48" t="e">
        <f>AND(#REF!,"AAAAACP/3go=")</f>
        <v>#REF!</v>
      </c>
      <c r="L48" t="e">
        <f>AND(#REF!,"AAAAACP/3gs=")</f>
        <v>#REF!</v>
      </c>
      <c r="M48" t="e">
        <f>AND(#REF!,"AAAAACP/3gw=")</f>
        <v>#REF!</v>
      </c>
      <c r="N48" t="e">
        <f>AND(#REF!,"AAAAACP/3g0=")</f>
        <v>#REF!</v>
      </c>
      <c r="O48" t="e">
        <f>AND(#REF!,"AAAAACP/3g4=")</f>
        <v>#REF!</v>
      </c>
      <c r="P48" t="e">
        <f>AND(#REF!,"AAAAACP/3g8=")</f>
        <v>#REF!</v>
      </c>
      <c r="Q48" t="e">
        <f>AND(#REF!,"AAAAACP/3hA=")</f>
        <v>#REF!</v>
      </c>
      <c r="R48" t="e">
        <f>AND(#REF!,"AAAAACP/3hE=")</f>
        <v>#REF!</v>
      </c>
      <c r="S48" t="e">
        <f>AND(#REF!,"AAAAACP/3hI=")</f>
        <v>#REF!</v>
      </c>
      <c r="T48" t="e">
        <f>AND(#REF!,"AAAAACP/3hM=")</f>
        <v>#REF!</v>
      </c>
      <c r="U48" t="e">
        <f>AND(#REF!,"AAAAACP/3hQ=")</f>
        <v>#REF!</v>
      </c>
      <c r="V48" t="e">
        <f>AND(#REF!,"AAAAACP/3hU=")</f>
        <v>#REF!</v>
      </c>
      <c r="W48" t="e">
        <f>AND(#REF!,"AAAAACP/3hY=")</f>
        <v>#REF!</v>
      </c>
      <c r="X48" t="e">
        <f>AND(#REF!,"AAAAACP/3hc=")</f>
        <v>#REF!</v>
      </c>
      <c r="Y48" t="e">
        <f>AND(#REF!,"AAAAACP/3hg=")</f>
        <v>#REF!</v>
      </c>
      <c r="Z48" t="e">
        <f>AND(#REF!,"AAAAACP/3hk=")</f>
        <v>#REF!</v>
      </c>
      <c r="AA48" t="e">
        <f>AND(#REF!,"AAAAACP/3ho=")</f>
        <v>#REF!</v>
      </c>
      <c r="AB48" t="e">
        <f>AND(#REF!,"AAAAACP/3hs=")</f>
        <v>#REF!</v>
      </c>
      <c r="AC48" t="e">
        <f>AND(#REF!,"AAAAACP/3hw=")</f>
        <v>#REF!</v>
      </c>
      <c r="AD48" t="e">
        <f>AND(#REF!,"AAAAACP/3h0=")</f>
        <v>#REF!</v>
      </c>
      <c r="AE48" t="e">
        <f>AND(#REF!,"AAAAACP/3h4=")</f>
        <v>#REF!</v>
      </c>
      <c r="AF48" t="e">
        <f>AND(#REF!,"AAAAACP/3h8=")</f>
        <v>#REF!</v>
      </c>
      <c r="AG48" t="e">
        <f>AND(#REF!,"AAAAACP/3iA=")</f>
        <v>#REF!</v>
      </c>
      <c r="AH48" t="e">
        <f>AND(#REF!,"AAAAACP/3iE=")</f>
        <v>#REF!</v>
      </c>
      <c r="AI48" t="e">
        <f>AND(#REF!,"AAAAACP/3iI=")</f>
        <v>#REF!</v>
      </c>
      <c r="AJ48" t="e">
        <f>AND(#REF!,"AAAAACP/3iM=")</f>
        <v>#REF!</v>
      </c>
      <c r="AK48" t="e">
        <f>AND(#REF!,"AAAAACP/3iQ=")</f>
        <v>#REF!</v>
      </c>
      <c r="AL48" t="e">
        <f>AND(#REF!,"AAAAACP/3iU=")</f>
        <v>#REF!</v>
      </c>
      <c r="AM48" t="e">
        <f>AND(#REF!,"AAAAACP/3iY=")</f>
        <v>#REF!</v>
      </c>
      <c r="AN48" t="e">
        <f>AND(#REF!,"AAAAACP/3ic=")</f>
        <v>#REF!</v>
      </c>
      <c r="AO48" t="e">
        <f>AND(#REF!,"AAAAACP/3ig=")</f>
        <v>#REF!</v>
      </c>
      <c r="AP48" t="e">
        <f>AND(#REF!,"AAAAACP/3ik=")</f>
        <v>#REF!</v>
      </c>
      <c r="AQ48" t="e">
        <f>AND(#REF!,"AAAAACP/3io=")</f>
        <v>#REF!</v>
      </c>
      <c r="AR48" t="e">
        <f>AND(#REF!,"AAAAACP/3is=")</f>
        <v>#REF!</v>
      </c>
      <c r="AS48" t="e">
        <f>AND(#REF!,"AAAAACP/3iw=")</f>
        <v>#REF!</v>
      </c>
      <c r="AT48" t="e">
        <f>AND(#REF!,"AAAAACP/3i0=")</f>
        <v>#REF!</v>
      </c>
      <c r="AU48" t="e">
        <f>AND(#REF!,"AAAAACP/3i4=")</f>
        <v>#REF!</v>
      </c>
      <c r="AV48" t="e">
        <f>AND(#REF!,"AAAAACP/3i8=")</f>
        <v>#REF!</v>
      </c>
      <c r="AW48" t="e">
        <f>AND(#REF!,"AAAAACP/3jA=")</f>
        <v>#REF!</v>
      </c>
      <c r="AX48" t="e">
        <f>AND(#REF!,"AAAAACP/3jE=")</f>
        <v>#REF!</v>
      </c>
      <c r="AY48" t="e">
        <f>AND(#REF!,"AAAAACP/3jI=")</f>
        <v>#REF!</v>
      </c>
      <c r="AZ48" t="e">
        <f>AND(#REF!,"AAAAACP/3jM=")</f>
        <v>#REF!</v>
      </c>
      <c r="BA48" t="e">
        <f>AND(#REF!,"AAAAACP/3jQ=")</f>
        <v>#REF!</v>
      </c>
      <c r="BB48" t="e">
        <f>AND(#REF!,"AAAAACP/3jU=")</f>
        <v>#REF!</v>
      </c>
      <c r="BC48" t="e">
        <f>AND(#REF!,"AAAAACP/3jY=")</f>
        <v>#REF!</v>
      </c>
      <c r="BD48" t="e">
        <f>AND(#REF!,"AAAAACP/3jc=")</f>
        <v>#REF!</v>
      </c>
      <c r="BE48" t="e">
        <f>AND(#REF!,"AAAAACP/3jg=")</f>
        <v>#REF!</v>
      </c>
      <c r="BF48" t="e">
        <f>AND(#REF!,"AAAAACP/3jk=")</f>
        <v>#REF!</v>
      </c>
      <c r="BG48" t="e">
        <f>AND(#REF!,"AAAAACP/3jo=")</f>
        <v>#REF!</v>
      </c>
      <c r="BH48" t="e">
        <f>AND(#REF!,"AAAAACP/3js=")</f>
        <v>#REF!</v>
      </c>
      <c r="BI48" t="e">
        <f>AND(#REF!,"AAAAACP/3jw=")</f>
        <v>#REF!</v>
      </c>
      <c r="BJ48" t="e">
        <f>AND(#REF!,"AAAAACP/3j0=")</f>
        <v>#REF!</v>
      </c>
      <c r="BK48" t="e">
        <f>AND(#REF!,"AAAAACP/3j4=")</f>
        <v>#REF!</v>
      </c>
      <c r="BL48" t="e">
        <f>AND(#REF!,"AAAAACP/3j8=")</f>
        <v>#REF!</v>
      </c>
      <c r="BM48" t="e">
        <f>AND(#REF!,"AAAAACP/3kA=")</f>
        <v>#REF!</v>
      </c>
      <c r="BN48" t="e">
        <f>AND(#REF!,"AAAAACP/3kE=")</f>
        <v>#REF!</v>
      </c>
      <c r="BO48" t="e">
        <f>AND(#REF!,"AAAAACP/3kI=")</f>
        <v>#REF!</v>
      </c>
      <c r="BP48" t="e">
        <f>AND(#REF!,"AAAAACP/3kM=")</f>
        <v>#REF!</v>
      </c>
      <c r="BQ48" t="e">
        <f>AND(#REF!,"AAAAACP/3kQ=")</f>
        <v>#REF!</v>
      </c>
      <c r="BR48" t="e">
        <f>AND(#REF!,"AAAAACP/3kU=")</f>
        <v>#REF!</v>
      </c>
      <c r="BS48" t="e">
        <f>AND(#REF!,"AAAAACP/3kY=")</f>
        <v>#REF!</v>
      </c>
      <c r="BT48" t="e">
        <f>AND(#REF!,"AAAAACP/3kc=")</f>
        <v>#REF!</v>
      </c>
      <c r="BU48" t="e">
        <f>AND(#REF!,"AAAAACP/3kg=")</f>
        <v>#REF!</v>
      </c>
      <c r="BV48" t="e">
        <f>AND(#REF!,"AAAAACP/3kk=")</f>
        <v>#REF!</v>
      </c>
      <c r="BW48" t="e">
        <f>AND(#REF!,"AAAAACP/3ko=")</f>
        <v>#REF!</v>
      </c>
      <c r="BX48" t="e">
        <f>AND(#REF!,"AAAAACP/3ks=")</f>
        <v>#REF!</v>
      </c>
      <c r="BY48" t="e">
        <f>AND(#REF!,"AAAAACP/3kw=")</f>
        <v>#REF!</v>
      </c>
      <c r="BZ48" t="e">
        <f>AND(#REF!,"AAAAACP/3k0=")</f>
        <v>#REF!</v>
      </c>
      <c r="CA48" t="e">
        <f>AND(#REF!,"AAAAACP/3k4=")</f>
        <v>#REF!</v>
      </c>
      <c r="CB48" t="e">
        <f>AND(#REF!,"AAAAACP/3k8=")</f>
        <v>#REF!</v>
      </c>
      <c r="CC48" t="e">
        <f>AND(#REF!,"AAAAACP/3lA=")</f>
        <v>#REF!</v>
      </c>
      <c r="CD48" t="e">
        <f>AND(#REF!,"AAAAACP/3lE=")</f>
        <v>#REF!</v>
      </c>
      <c r="CE48" t="e">
        <f>AND(#REF!,"AAAAACP/3lI=")</f>
        <v>#REF!</v>
      </c>
      <c r="CF48" t="e">
        <f>AND(#REF!,"AAAAACP/3lM=")</f>
        <v>#REF!</v>
      </c>
      <c r="CG48" t="e">
        <f>AND(#REF!,"AAAAACP/3lQ=")</f>
        <v>#REF!</v>
      </c>
      <c r="CH48" t="e">
        <f>AND(#REF!,"AAAAACP/3lU=")</f>
        <v>#REF!</v>
      </c>
      <c r="CI48" t="e">
        <f>AND(#REF!,"AAAAACP/3lY=")</f>
        <v>#REF!</v>
      </c>
      <c r="CJ48" t="e">
        <f>AND(#REF!,"AAAAACP/3lc=")</f>
        <v>#REF!</v>
      </c>
      <c r="CK48" t="e">
        <f>AND(#REF!,"AAAAACP/3lg=")</f>
        <v>#REF!</v>
      </c>
      <c r="CL48" t="e">
        <f>AND(#REF!,"AAAAACP/3lk=")</f>
        <v>#REF!</v>
      </c>
      <c r="CM48" t="e">
        <f>AND(#REF!,"AAAAACP/3lo=")</f>
        <v>#REF!</v>
      </c>
      <c r="CN48" t="e">
        <f>AND(#REF!,"AAAAACP/3ls=")</f>
        <v>#REF!</v>
      </c>
      <c r="CO48" t="e">
        <f>AND(#REF!,"AAAAACP/3lw=")</f>
        <v>#REF!</v>
      </c>
      <c r="CP48" t="e">
        <f>AND(#REF!,"AAAAACP/3l0=")</f>
        <v>#REF!</v>
      </c>
      <c r="CQ48" t="e">
        <f>AND(#REF!,"AAAAACP/3l4=")</f>
        <v>#REF!</v>
      </c>
      <c r="CR48" t="e">
        <f>AND(#REF!,"AAAAACP/3l8=")</f>
        <v>#REF!</v>
      </c>
      <c r="CS48" t="e">
        <f>AND(#REF!,"AAAAACP/3mA=")</f>
        <v>#REF!</v>
      </c>
      <c r="CT48" t="e">
        <f>AND(#REF!,"AAAAACP/3mE=")</f>
        <v>#REF!</v>
      </c>
      <c r="CU48" t="e">
        <f>AND(#REF!,"AAAAACP/3mI=")</f>
        <v>#REF!</v>
      </c>
      <c r="CV48" t="e">
        <f>AND(#REF!,"AAAAACP/3mM=")</f>
        <v>#REF!</v>
      </c>
      <c r="CW48" t="e">
        <f>AND(#REF!,"AAAAACP/3mQ=")</f>
        <v>#REF!</v>
      </c>
      <c r="CX48" t="e">
        <f>AND(#REF!,"AAAAACP/3mU=")</f>
        <v>#REF!</v>
      </c>
      <c r="CY48" t="e">
        <f>AND(#REF!,"AAAAACP/3mY=")</f>
        <v>#REF!</v>
      </c>
      <c r="CZ48" t="e">
        <f>AND(#REF!,"AAAAACP/3mc=")</f>
        <v>#REF!</v>
      </c>
      <c r="DA48" t="e">
        <f>AND(#REF!,"AAAAACP/3mg=")</f>
        <v>#REF!</v>
      </c>
      <c r="DB48" t="e">
        <f>AND(#REF!,"AAAAACP/3mk=")</f>
        <v>#REF!</v>
      </c>
      <c r="DC48" t="e">
        <f>AND(#REF!,"AAAAACP/3mo=")</f>
        <v>#REF!</v>
      </c>
      <c r="DD48" t="e">
        <f>AND(#REF!,"AAAAACP/3ms=")</f>
        <v>#REF!</v>
      </c>
      <c r="DE48" t="e">
        <f>AND(#REF!,"AAAAACP/3mw=")</f>
        <v>#REF!</v>
      </c>
      <c r="DF48" t="e">
        <f>AND(#REF!,"AAAAACP/3m0=")</f>
        <v>#REF!</v>
      </c>
      <c r="DG48" t="e">
        <f>AND(#REF!,"AAAAACP/3m4=")</f>
        <v>#REF!</v>
      </c>
      <c r="DH48" t="e">
        <f>AND(#REF!,"AAAAACP/3m8=")</f>
        <v>#REF!</v>
      </c>
      <c r="DI48" t="e">
        <f>AND(#REF!,"AAAAACP/3nA=")</f>
        <v>#REF!</v>
      </c>
      <c r="DJ48" t="e">
        <f>AND(#REF!,"AAAAACP/3nE=")</f>
        <v>#REF!</v>
      </c>
      <c r="DK48" t="e">
        <f>AND(#REF!,"AAAAACP/3nI=")</f>
        <v>#REF!</v>
      </c>
      <c r="DL48" t="e">
        <f>AND(#REF!,"AAAAACP/3nM=")</f>
        <v>#REF!</v>
      </c>
      <c r="DM48" t="e">
        <f>AND(#REF!,"AAAAACP/3nQ=")</f>
        <v>#REF!</v>
      </c>
      <c r="DN48" t="e">
        <f>AND(#REF!,"AAAAACP/3nU=")</f>
        <v>#REF!</v>
      </c>
      <c r="DO48" t="e">
        <f>AND(#REF!,"AAAAACP/3nY=")</f>
        <v>#REF!</v>
      </c>
      <c r="DP48" t="e">
        <f>AND(#REF!,"AAAAACP/3nc=")</f>
        <v>#REF!</v>
      </c>
      <c r="DQ48" t="e">
        <f>AND(#REF!,"AAAAACP/3ng=")</f>
        <v>#REF!</v>
      </c>
      <c r="DR48" t="e">
        <f>AND(#REF!,"AAAAACP/3nk=")</f>
        <v>#REF!</v>
      </c>
      <c r="DS48" t="e">
        <f>AND(#REF!,"AAAAACP/3no=")</f>
        <v>#REF!</v>
      </c>
      <c r="DT48" t="e">
        <f>AND(#REF!,"AAAAACP/3ns=")</f>
        <v>#REF!</v>
      </c>
      <c r="DU48" t="e">
        <f>AND(#REF!,"AAAAACP/3nw=")</f>
        <v>#REF!</v>
      </c>
      <c r="DV48" t="e">
        <f>AND(#REF!,"AAAAACP/3n0=")</f>
        <v>#REF!</v>
      </c>
      <c r="DW48" t="e">
        <f>AND(#REF!,"AAAAACP/3n4=")</f>
        <v>#REF!</v>
      </c>
      <c r="DX48" t="e">
        <f>AND(#REF!,"AAAAACP/3n8=")</f>
        <v>#REF!</v>
      </c>
      <c r="DY48" t="e">
        <f>AND(#REF!,"AAAAACP/3oA=")</f>
        <v>#REF!</v>
      </c>
      <c r="DZ48" t="e">
        <f>AND(#REF!,"AAAAACP/3oE=")</f>
        <v>#REF!</v>
      </c>
      <c r="EA48" t="e">
        <f>AND(#REF!,"AAAAACP/3oI=")</f>
        <v>#REF!</v>
      </c>
      <c r="EB48" t="e">
        <f>AND(#REF!,"AAAAACP/3oM=")</f>
        <v>#REF!</v>
      </c>
      <c r="EC48" t="e">
        <f>AND(#REF!,"AAAAACP/3oQ=")</f>
        <v>#REF!</v>
      </c>
      <c r="ED48" t="e">
        <f>IF(#REF!,"AAAAACP/3oU=",0)</f>
        <v>#REF!</v>
      </c>
      <c r="EE48" t="e">
        <f>AND(#REF!,"AAAAACP/3oY=")</f>
        <v>#REF!</v>
      </c>
      <c r="EF48" t="e">
        <f>AND(#REF!,"AAAAACP/3oc=")</f>
        <v>#REF!</v>
      </c>
      <c r="EG48" t="e">
        <f>AND(#REF!,"AAAAACP/3og=")</f>
        <v>#REF!</v>
      </c>
      <c r="EH48" t="e">
        <f>AND(#REF!,"AAAAACP/3ok=")</f>
        <v>#REF!</v>
      </c>
      <c r="EI48" t="e">
        <f>AND(#REF!,"AAAAACP/3oo=")</f>
        <v>#REF!</v>
      </c>
      <c r="EJ48" t="e">
        <f>AND(#REF!,"AAAAACP/3os=")</f>
        <v>#REF!</v>
      </c>
      <c r="EK48" t="e">
        <f>AND(#REF!,"AAAAACP/3ow=")</f>
        <v>#REF!</v>
      </c>
      <c r="EL48" t="e">
        <f>AND(#REF!,"AAAAACP/3o0=")</f>
        <v>#REF!</v>
      </c>
      <c r="EM48" t="e">
        <f>AND(#REF!,"AAAAACP/3o4=")</f>
        <v>#REF!</v>
      </c>
      <c r="EN48" t="e">
        <f>AND(#REF!,"AAAAACP/3o8=")</f>
        <v>#REF!</v>
      </c>
      <c r="EO48" t="e">
        <f>AND(#REF!,"AAAAACP/3pA=")</f>
        <v>#REF!</v>
      </c>
      <c r="EP48" t="e">
        <f>AND(#REF!,"AAAAACP/3pE=")</f>
        <v>#REF!</v>
      </c>
      <c r="EQ48" t="e">
        <f>AND(#REF!,"AAAAACP/3pI=")</f>
        <v>#REF!</v>
      </c>
      <c r="ER48" t="e">
        <f>IF(#REF!,"AAAAACP/3pM=",0)</f>
        <v>#REF!</v>
      </c>
      <c r="ES48" t="e">
        <f>AND(#REF!,"AAAAACP/3pQ=")</f>
        <v>#REF!</v>
      </c>
      <c r="ET48" t="e">
        <f>AND(#REF!,"AAAAACP/3pU=")</f>
        <v>#REF!</v>
      </c>
      <c r="EU48" t="e">
        <f>AND(#REF!,"AAAAACP/3pY=")</f>
        <v>#REF!</v>
      </c>
      <c r="EV48" t="e">
        <f>AND(#REF!,"AAAAACP/3pc=")</f>
        <v>#REF!</v>
      </c>
      <c r="EW48" t="e">
        <f>AND(#REF!,"AAAAACP/3pg=")</f>
        <v>#REF!</v>
      </c>
      <c r="EX48" t="e">
        <f>AND(#REF!,"AAAAACP/3pk=")</f>
        <v>#REF!</v>
      </c>
      <c r="EY48" t="e">
        <f>AND(#REF!,"AAAAACP/3po=")</f>
        <v>#REF!</v>
      </c>
      <c r="EZ48" t="e">
        <f>AND(#REF!,"AAAAACP/3ps=")</f>
        <v>#REF!</v>
      </c>
      <c r="FA48" t="e">
        <f>AND(#REF!,"AAAAACP/3pw=")</f>
        <v>#REF!</v>
      </c>
      <c r="FB48" t="e">
        <f>AND(#REF!,"AAAAACP/3p0=")</f>
        <v>#REF!</v>
      </c>
      <c r="FC48" t="e">
        <f>AND(#REF!,"AAAAACP/3p4=")</f>
        <v>#REF!</v>
      </c>
      <c r="FD48" t="e">
        <f>AND(#REF!,"AAAAACP/3p8=")</f>
        <v>#REF!</v>
      </c>
      <c r="FE48" t="e">
        <f>AND(#REF!,"AAAAACP/3qA=")</f>
        <v>#REF!</v>
      </c>
      <c r="FF48" t="e">
        <f>IF(#REF!,"AAAAACP/3qE=",0)</f>
        <v>#REF!</v>
      </c>
      <c r="FG48" t="e">
        <f>AND(#REF!,"AAAAACP/3qI=")</f>
        <v>#REF!</v>
      </c>
      <c r="FH48" t="e">
        <f>AND(#REF!,"AAAAACP/3qM=")</f>
        <v>#REF!</v>
      </c>
      <c r="FI48" t="e">
        <f>AND(#REF!,"AAAAACP/3qQ=")</f>
        <v>#REF!</v>
      </c>
      <c r="FJ48" t="e">
        <f>AND(#REF!,"AAAAACP/3qU=")</f>
        <v>#REF!</v>
      </c>
      <c r="FK48" t="e">
        <f>AND(#REF!,"AAAAACP/3qY=")</f>
        <v>#REF!</v>
      </c>
      <c r="FL48" t="e">
        <f>AND(#REF!,"AAAAACP/3qc=")</f>
        <v>#REF!</v>
      </c>
      <c r="FM48" t="e">
        <f>AND(#REF!,"AAAAACP/3qg=")</f>
        <v>#REF!</v>
      </c>
      <c r="FN48" t="e">
        <f>AND(#REF!,"AAAAACP/3qk=")</f>
        <v>#REF!</v>
      </c>
      <c r="FO48" t="e">
        <f>AND(#REF!,"AAAAACP/3qo=")</f>
        <v>#REF!</v>
      </c>
      <c r="FP48" t="e">
        <f>AND(#REF!,"AAAAACP/3qs=")</f>
        <v>#REF!</v>
      </c>
      <c r="FQ48" t="e">
        <f>AND(#REF!,"AAAAACP/3qw=")</f>
        <v>#REF!</v>
      </c>
      <c r="FR48" t="e">
        <f>AND(#REF!,"AAAAACP/3q0=")</f>
        <v>#REF!</v>
      </c>
      <c r="FS48" t="e">
        <f>AND(#REF!,"AAAAACP/3q4=")</f>
        <v>#REF!</v>
      </c>
      <c r="FT48" t="e">
        <f>IF(#REF!,"AAAAACP/3q8=",0)</f>
        <v>#REF!</v>
      </c>
      <c r="FU48" t="e">
        <f>AND(#REF!,"AAAAACP/3rA=")</f>
        <v>#REF!</v>
      </c>
      <c r="FV48" t="e">
        <f>AND(#REF!,"AAAAACP/3rE=")</f>
        <v>#REF!</v>
      </c>
      <c r="FW48" t="e">
        <f>AND(#REF!,"AAAAACP/3rI=")</f>
        <v>#REF!</v>
      </c>
      <c r="FX48" t="e">
        <f>AND(#REF!,"AAAAACP/3rM=")</f>
        <v>#REF!</v>
      </c>
      <c r="FY48" t="e">
        <f>AND(#REF!,"AAAAACP/3rQ=")</f>
        <v>#REF!</v>
      </c>
      <c r="FZ48" t="e">
        <f>AND(#REF!,"AAAAACP/3rU=")</f>
        <v>#REF!</v>
      </c>
      <c r="GA48" t="e">
        <f>AND(#REF!,"AAAAACP/3rY=")</f>
        <v>#REF!</v>
      </c>
      <c r="GB48" t="e">
        <f>AND(#REF!,"AAAAACP/3rc=")</f>
        <v>#REF!</v>
      </c>
      <c r="GC48" t="e">
        <f>AND(#REF!,"AAAAACP/3rg=")</f>
        <v>#REF!</v>
      </c>
      <c r="GD48" t="e">
        <f>AND(#REF!,"AAAAACP/3rk=")</f>
        <v>#REF!</v>
      </c>
      <c r="GE48" t="e">
        <f>AND(#REF!,"AAAAACP/3ro=")</f>
        <v>#REF!</v>
      </c>
      <c r="GF48" t="e">
        <f>AND(#REF!,"AAAAACP/3rs=")</f>
        <v>#REF!</v>
      </c>
      <c r="GG48" t="e">
        <f>AND(#REF!,"AAAAACP/3rw=")</f>
        <v>#REF!</v>
      </c>
      <c r="GH48" t="e">
        <f>IF(#REF!,"AAAAACP/3r0=",0)</f>
        <v>#REF!</v>
      </c>
      <c r="GI48" t="e">
        <f>AND(#REF!,"AAAAACP/3r4=")</f>
        <v>#REF!</v>
      </c>
      <c r="GJ48" t="e">
        <f>AND(#REF!,"AAAAACP/3r8=")</f>
        <v>#REF!</v>
      </c>
      <c r="GK48" t="e">
        <f>AND(#REF!,"AAAAACP/3sA=")</f>
        <v>#REF!</v>
      </c>
      <c r="GL48" t="e">
        <f>AND(#REF!,"AAAAACP/3sE=")</f>
        <v>#REF!</v>
      </c>
      <c r="GM48" t="e">
        <f>AND(#REF!,"AAAAACP/3sI=")</f>
        <v>#REF!</v>
      </c>
      <c r="GN48" t="e">
        <f>AND(#REF!,"AAAAACP/3sM=")</f>
        <v>#REF!</v>
      </c>
      <c r="GO48" t="e">
        <f>AND(#REF!,"AAAAACP/3sQ=")</f>
        <v>#REF!</v>
      </c>
      <c r="GP48" t="e">
        <f>AND(#REF!,"AAAAACP/3sU=")</f>
        <v>#REF!</v>
      </c>
      <c r="GQ48" t="e">
        <f>AND(#REF!,"AAAAACP/3sY=")</f>
        <v>#REF!</v>
      </c>
      <c r="GR48" t="e">
        <f>AND(#REF!,"AAAAACP/3sc=")</f>
        <v>#REF!</v>
      </c>
      <c r="GS48" t="e">
        <f>AND(#REF!,"AAAAACP/3sg=")</f>
        <v>#REF!</v>
      </c>
      <c r="GT48" t="e">
        <f>AND(#REF!,"AAAAACP/3sk=")</f>
        <v>#REF!</v>
      </c>
      <c r="GU48" t="e">
        <f>AND(#REF!,"AAAAACP/3so=")</f>
        <v>#REF!</v>
      </c>
      <c r="GV48" t="e">
        <f>IF(#REF!,"AAAAACP/3ss=",0)</f>
        <v>#REF!</v>
      </c>
      <c r="GW48" t="e">
        <f>AND(#REF!,"AAAAACP/3sw=")</f>
        <v>#REF!</v>
      </c>
      <c r="GX48" t="e">
        <f>AND(#REF!,"AAAAACP/3s0=")</f>
        <v>#REF!</v>
      </c>
      <c r="GY48" t="e">
        <f>AND(#REF!,"AAAAACP/3s4=")</f>
        <v>#REF!</v>
      </c>
      <c r="GZ48" t="e">
        <f>AND(#REF!,"AAAAACP/3s8=")</f>
        <v>#REF!</v>
      </c>
      <c r="HA48" t="e">
        <f>AND(#REF!,"AAAAACP/3tA=")</f>
        <v>#REF!</v>
      </c>
      <c r="HB48" t="e">
        <f>AND(#REF!,"AAAAACP/3tE=")</f>
        <v>#REF!</v>
      </c>
      <c r="HC48" t="e">
        <f>AND(#REF!,"AAAAACP/3tI=")</f>
        <v>#REF!</v>
      </c>
      <c r="HD48" t="e">
        <f>AND(#REF!,"AAAAACP/3tM=")</f>
        <v>#REF!</v>
      </c>
      <c r="HE48" t="e">
        <f>AND(#REF!,"AAAAACP/3tQ=")</f>
        <v>#REF!</v>
      </c>
      <c r="HF48" t="e">
        <f>AND(#REF!,"AAAAACP/3tU=")</f>
        <v>#REF!</v>
      </c>
      <c r="HG48" t="e">
        <f>AND(#REF!,"AAAAACP/3tY=")</f>
        <v>#REF!</v>
      </c>
      <c r="HH48" t="e">
        <f>AND(#REF!,"AAAAACP/3tc=")</f>
        <v>#REF!</v>
      </c>
      <c r="HI48" t="e">
        <f>AND(#REF!,"AAAAACP/3tg=")</f>
        <v>#REF!</v>
      </c>
      <c r="HJ48" t="e">
        <f>IF(#REF!,"AAAAACP/3tk=",0)</f>
        <v>#REF!</v>
      </c>
      <c r="HK48" t="e">
        <f>AND(#REF!,"AAAAACP/3to=")</f>
        <v>#REF!</v>
      </c>
      <c r="HL48" t="e">
        <f>AND(#REF!,"AAAAACP/3ts=")</f>
        <v>#REF!</v>
      </c>
      <c r="HM48" t="e">
        <f>AND(#REF!,"AAAAACP/3tw=")</f>
        <v>#REF!</v>
      </c>
      <c r="HN48" t="e">
        <f>AND(#REF!,"AAAAACP/3t0=")</f>
        <v>#REF!</v>
      </c>
      <c r="HO48" t="e">
        <f>AND(#REF!,"AAAAACP/3t4=")</f>
        <v>#REF!</v>
      </c>
      <c r="HP48" t="e">
        <f>AND(#REF!,"AAAAACP/3t8=")</f>
        <v>#REF!</v>
      </c>
      <c r="HQ48" t="e">
        <f>AND(#REF!,"AAAAACP/3uA=")</f>
        <v>#REF!</v>
      </c>
      <c r="HR48" t="e">
        <f>AND(#REF!,"AAAAACP/3uE=")</f>
        <v>#REF!</v>
      </c>
      <c r="HS48" t="e">
        <f>AND(#REF!,"AAAAACP/3uI=")</f>
        <v>#REF!</v>
      </c>
      <c r="HT48" t="e">
        <f>AND(#REF!,"AAAAACP/3uM=")</f>
        <v>#REF!</v>
      </c>
      <c r="HU48" t="e">
        <f>AND(#REF!,"AAAAACP/3uQ=")</f>
        <v>#REF!</v>
      </c>
      <c r="HV48" t="e">
        <f>AND(#REF!,"AAAAACP/3uU=")</f>
        <v>#REF!</v>
      </c>
      <c r="HW48" t="e">
        <f>AND(#REF!,"AAAAACP/3uY=")</f>
        <v>#REF!</v>
      </c>
      <c r="HX48" t="e">
        <f>IF(#REF!,"AAAAACP/3uc=",0)</f>
        <v>#REF!</v>
      </c>
      <c r="HY48" t="e">
        <f>AND(#REF!,"AAAAACP/3ug=")</f>
        <v>#REF!</v>
      </c>
      <c r="HZ48" t="e">
        <f>AND(#REF!,"AAAAACP/3uk=")</f>
        <v>#REF!</v>
      </c>
      <c r="IA48" t="e">
        <f>AND(#REF!,"AAAAACP/3uo=")</f>
        <v>#REF!</v>
      </c>
      <c r="IB48" t="e">
        <f>AND(#REF!,"AAAAACP/3us=")</f>
        <v>#REF!</v>
      </c>
      <c r="IC48" t="e">
        <f>AND(#REF!,"AAAAACP/3uw=")</f>
        <v>#REF!</v>
      </c>
      <c r="ID48" t="e">
        <f>AND(#REF!,"AAAAACP/3u0=")</f>
        <v>#REF!</v>
      </c>
      <c r="IE48" t="e">
        <f>AND(#REF!,"AAAAACP/3u4=")</f>
        <v>#REF!</v>
      </c>
      <c r="IF48" t="e">
        <f>AND(#REF!,"AAAAACP/3u8=")</f>
        <v>#REF!</v>
      </c>
      <c r="IG48" t="e">
        <f>AND(#REF!,"AAAAACP/3vA=")</f>
        <v>#REF!</v>
      </c>
      <c r="IH48" t="e">
        <f>AND(#REF!,"AAAAACP/3vE=")</f>
        <v>#REF!</v>
      </c>
      <c r="II48" t="e">
        <f>AND(#REF!,"AAAAACP/3vI=")</f>
        <v>#REF!</v>
      </c>
      <c r="IJ48" t="e">
        <f>AND(#REF!,"AAAAACP/3vM=")</f>
        <v>#REF!</v>
      </c>
      <c r="IK48" t="e">
        <f>AND(#REF!,"AAAAACP/3vQ=")</f>
        <v>#REF!</v>
      </c>
      <c r="IL48" t="e">
        <f>IF(#REF!,"AAAAACP/3vU=",0)</f>
        <v>#REF!</v>
      </c>
      <c r="IM48" t="e">
        <f>AND(#REF!,"AAAAACP/3vY=")</f>
        <v>#REF!</v>
      </c>
      <c r="IN48" t="e">
        <f>AND(#REF!,"AAAAACP/3vc=")</f>
        <v>#REF!</v>
      </c>
      <c r="IO48" t="e">
        <f>AND(#REF!,"AAAAACP/3vg=")</f>
        <v>#REF!</v>
      </c>
      <c r="IP48" t="e">
        <f>AND(#REF!,"AAAAACP/3vk=")</f>
        <v>#REF!</v>
      </c>
      <c r="IQ48" t="e">
        <f>AND(#REF!,"AAAAACP/3vo=")</f>
        <v>#REF!</v>
      </c>
      <c r="IR48" t="e">
        <f>AND(#REF!,"AAAAACP/3vs=")</f>
        <v>#REF!</v>
      </c>
      <c r="IS48" t="e">
        <f>AND(#REF!,"AAAAACP/3vw=")</f>
        <v>#REF!</v>
      </c>
      <c r="IT48" t="e">
        <f>AND(#REF!,"AAAAACP/3v0=")</f>
        <v>#REF!</v>
      </c>
      <c r="IU48" t="e">
        <f>AND(#REF!,"AAAAACP/3v4=")</f>
        <v>#REF!</v>
      </c>
      <c r="IV48" t="e">
        <f>AND(#REF!,"AAAAACP/3v8=")</f>
        <v>#REF!</v>
      </c>
    </row>
    <row r="49" spans="1:256" x14ac:dyDescent="0.35">
      <c r="A49" t="e">
        <f>AND(#REF!,"AAAAAHz/7wA=")</f>
        <v>#REF!</v>
      </c>
      <c r="B49" t="e">
        <f>AND(#REF!,"AAAAAHz/7wE=")</f>
        <v>#REF!</v>
      </c>
      <c r="C49" t="e">
        <f>AND(#REF!,"AAAAAHz/7wI=")</f>
        <v>#REF!</v>
      </c>
      <c r="D49" t="e">
        <f>IF(#REF!,"AAAAAHz/7wM=",0)</f>
        <v>#REF!</v>
      </c>
      <c r="E49" t="e">
        <f>AND(#REF!,"AAAAAHz/7wQ=")</f>
        <v>#REF!</v>
      </c>
      <c r="F49" t="e">
        <f>AND(#REF!,"AAAAAHz/7wU=")</f>
        <v>#REF!</v>
      </c>
      <c r="G49" t="e">
        <f>AND(#REF!,"AAAAAHz/7wY=")</f>
        <v>#REF!</v>
      </c>
      <c r="H49" t="e">
        <f>AND(#REF!,"AAAAAHz/7wc=")</f>
        <v>#REF!</v>
      </c>
      <c r="I49" t="e">
        <f>AND(#REF!,"AAAAAHz/7wg=")</f>
        <v>#REF!</v>
      </c>
      <c r="J49" t="e">
        <f>AND(#REF!,"AAAAAHz/7wk=")</f>
        <v>#REF!</v>
      </c>
      <c r="K49" t="e">
        <f>AND(#REF!,"AAAAAHz/7wo=")</f>
        <v>#REF!</v>
      </c>
      <c r="L49" t="e">
        <f>AND(#REF!,"AAAAAHz/7ws=")</f>
        <v>#REF!</v>
      </c>
      <c r="M49" t="e">
        <f>AND(#REF!,"AAAAAHz/7ww=")</f>
        <v>#REF!</v>
      </c>
      <c r="N49" t="e">
        <f>AND(#REF!,"AAAAAHz/7w0=")</f>
        <v>#REF!</v>
      </c>
      <c r="O49" t="e">
        <f>AND(#REF!,"AAAAAHz/7w4=")</f>
        <v>#REF!</v>
      </c>
      <c r="P49" t="e">
        <f>AND(#REF!,"AAAAAHz/7w8=")</f>
        <v>#REF!</v>
      </c>
      <c r="Q49" t="e">
        <f>AND(#REF!,"AAAAAHz/7xA=")</f>
        <v>#REF!</v>
      </c>
      <c r="R49" t="e">
        <f>IF(#REF!,"AAAAAHz/7xE=",0)</f>
        <v>#REF!</v>
      </c>
      <c r="S49" t="e">
        <f>AND(#REF!,"AAAAAHz/7xI=")</f>
        <v>#REF!</v>
      </c>
      <c r="T49" t="e">
        <f>AND(#REF!,"AAAAAHz/7xM=")</f>
        <v>#REF!</v>
      </c>
      <c r="U49" t="e">
        <f>AND(#REF!,"AAAAAHz/7xQ=")</f>
        <v>#REF!</v>
      </c>
      <c r="V49" t="e">
        <f>AND(#REF!,"AAAAAHz/7xU=")</f>
        <v>#REF!</v>
      </c>
      <c r="W49" t="e">
        <f>AND(#REF!,"AAAAAHz/7xY=")</f>
        <v>#REF!</v>
      </c>
      <c r="X49" t="e">
        <f>AND(#REF!,"AAAAAHz/7xc=")</f>
        <v>#REF!</v>
      </c>
      <c r="Y49" t="e">
        <f>AND(#REF!,"AAAAAHz/7xg=")</f>
        <v>#REF!</v>
      </c>
      <c r="Z49" t="e">
        <f>AND(#REF!,"AAAAAHz/7xk=")</f>
        <v>#REF!</v>
      </c>
      <c r="AA49" t="e">
        <f>AND(#REF!,"AAAAAHz/7xo=")</f>
        <v>#REF!</v>
      </c>
      <c r="AB49" t="e">
        <f>AND(#REF!,"AAAAAHz/7xs=")</f>
        <v>#REF!</v>
      </c>
      <c r="AC49" t="e">
        <f>AND(#REF!,"AAAAAHz/7xw=")</f>
        <v>#REF!</v>
      </c>
      <c r="AD49" t="e">
        <f>AND(#REF!,"AAAAAHz/7x0=")</f>
        <v>#REF!</v>
      </c>
      <c r="AE49" t="e">
        <f>AND(#REF!,"AAAAAHz/7x4=")</f>
        <v>#REF!</v>
      </c>
      <c r="AF49" t="e">
        <f>IF(#REF!,"AAAAAHz/7x8=",0)</f>
        <v>#REF!</v>
      </c>
      <c r="AG49" t="e">
        <f>AND(#REF!,"AAAAAHz/7yA=")</f>
        <v>#REF!</v>
      </c>
      <c r="AH49" t="e">
        <f>AND(#REF!,"AAAAAHz/7yE=")</f>
        <v>#REF!</v>
      </c>
      <c r="AI49" t="e">
        <f>AND(#REF!,"AAAAAHz/7yI=")</f>
        <v>#REF!</v>
      </c>
      <c r="AJ49" t="e">
        <f>AND(#REF!,"AAAAAHz/7yM=")</f>
        <v>#REF!</v>
      </c>
      <c r="AK49" t="e">
        <f>AND(#REF!,"AAAAAHz/7yQ=")</f>
        <v>#REF!</v>
      </c>
      <c r="AL49" t="e">
        <f>AND(#REF!,"AAAAAHz/7yU=")</f>
        <v>#REF!</v>
      </c>
      <c r="AM49" t="e">
        <f>AND(#REF!,"AAAAAHz/7yY=")</f>
        <v>#REF!</v>
      </c>
      <c r="AN49" t="e">
        <f>AND(#REF!,"AAAAAHz/7yc=")</f>
        <v>#REF!</v>
      </c>
      <c r="AO49" t="e">
        <f>AND(#REF!,"AAAAAHz/7yg=")</f>
        <v>#REF!</v>
      </c>
      <c r="AP49" t="e">
        <f>AND(#REF!,"AAAAAHz/7yk=")</f>
        <v>#REF!</v>
      </c>
      <c r="AQ49" t="e">
        <f>AND(#REF!,"AAAAAHz/7yo=")</f>
        <v>#REF!</v>
      </c>
      <c r="AR49" t="e">
        <f>AND(#REF!,"AAAAAHz/7ys=")</f>
        <v>#REF!</v>
      </c>
      <c r="AS49" t="e">
        <f>AND(#REF!,"AAAAAHz/7yw=")</f>
        <v>#REF!</v>
      </c>
      <c r="AT49" t="e">
        <f>IF(#REF!,"AAAAAHz/7y0=",0)</f>
        <v>#REF!</v>
      </c>
      <c r="AU49" t="e">
        <f>AND(#REF!,"AAAAAHz/7y4=")</f>
        <v>#REF!</v>
      </c>
      <c r="AV49" t="e">
        <f>AND(#REF!,"AAAAAHz/7y8=")</f>
        <v>#REF!</v>
      </c>
      <c r="AW49" t="e">
        <f>AND(#REF!,"AAAAAHz/7zA=")</f>
        <v>#REF!</v>
      </c>
      <c r="AX49" t="e">
        <f>AND(#REF!,"AAAAAHz/7zE=")</f>
        <v>#REF!</v>
      </c>
      <c r="AY49" t="e">
        <f>AND(#REF!,"AAAAAHz/7zI=")</f>
        <v>#REF!</v>
      </c>
      <c r="AZ49" t="e">
        <f>AND(#REF!,"AAAAAHz/7zM=")</f>
        <v>#REF!</v>
      </c>
      <c r="BA49" t="e">
        <f>AND(#REF!,"AAAAAHz/7zQ=")</f>
        <v>#REF!</v>
      </c>
      <c r="BB49" t="e">
        <f>AND(#REF!,"AAAAAHz/7zU=")</f>
        <v>#REF!</v>
      </c>
      <c r="BC49" t="e">
        <f>AND(#REF!,"AAAAAHz/7zY=")</f>
        <v>#REF!</v>
      </c>
      <c r="BD49" t="e">
        <f>AND(#REF!,"AAAAAHz/7zc=")</f>
        <v>#REF!</v>
      </c>
      <c r="BE49" t="e">
        <f>AND(#REF!,"AAAAAHz/7zg=")</f>
        <v>#REF!</v>
      </c>
      <c r="BF49" t="e">
        <f>AND(#REF!,"AAAAAHz/7zk=")</f>
        <v>#REF!</v>
      </c>
      <c r="BG49" t="e">
        <f>AND(#REF!,"AAAAAHz/7zo=")</f>
        <v>#REF!</v>
      </c>
      <c r="BH49" t="e">
        <f>IF(#REF!,"AAAAAHz/7zs=",0)</f>
        <v>#REF!</v>
      </c>
      <c r="BI49" t="e">
        <f>AND(#REF!,"AAAAAHz/7zw=")</f>
        <v>#REF!</v>
      </c>
      <c r="BJ49" t="e">
        <f>AND(#REF!,"AAAAAHz/7z0=")</f>
        <v>#REF!</v>
      </c>
      <c r="BK49" t="e">
        <f>AND(#REF!,"AAAAAHz/7z4=")</f>
        <v>#REF!</v>
      </c>
      <c r="BL49" t="e">
        <f>AND(#REF!,"AAAAAHz/7z8=")</f>
        <v>#REF!</v>
      </c>
      <c r="BM49" t="e">
        <f>AND(#REF!,"AAAAAHz/70A=")</f>
        <v>#REF!</v>
      </c>
      <c r="BN49" t="e">
        <f>AND(#REF!,"AAAAAHz/70E=")</f>
        <v>#REF!</v>
      </c>
      <c r="BO49" t="e">
        <f>AND(#REF!,"AAAAAHz/70I=")</f>
        <v>#REF!</v>
      </c>
      <c r="BP49" t="e">
        <f>AND(#REF!,"AAAAAHz/70M=")</f>
        <v>#REF!</v>
      </c>
      <c r="BQ49" t="e">
        <f>AND(#REF!,"AAAAAHz/70Q=")</f>
        <v>#REF!</v>
      </c>
      <c r="BR49" t="e">
        <f>AND(#REF!,"AAAAAHz/70U=")</f>
        <v>#REF!</v>
      </c>
      <c r="BS49" t="e">
        <f>AND(#REF!,"AAAAAHz/70Y=")</f>
        <v>#REF!</v>
      </c>
      <c r="BT49" t="e">
        <f>AND(#REF!,"AAAAAHz/70c=")</f>
        <v>#REF!</v>
      </c>
      <c r="BU49" t="e">
        <f>AND(#REF!,"AAAAAHz/70g=")</f>
        <v>#REF!</v>
      </c>
    </row>
    <row r="50" spans="1:256" x14ac:dyDescent="0.35">
      <c r="A50" t="e">
        <f>IF(#REF!,"AAAAAHrznwA=",0)</f>
        <v>#REF!</v>
      </c>
      <c r="B50" t="e">
        <f>AND(#REF!,"AAAAAHrznwE=")</f>
        <v>#REF!</v>
      </c>
      <c r="C50" t="e">
        <f>AND(#REF!,"AAAAAHrznwI=")</f>
        <v>#REF!</v>
      </c>
      <c r="D50" t="e">
        <f>AND(#REF!,"AAAAAHrznwM=")</f>
        <v>#REF!</v>
      </c>
      <c r="E50" t="e">
        <f>AND(#REF!,"AAAAAHrznwQ=")</f>
        <v>#REF!</v>
      </c>
      <c r="F50" t="e">
        <f>AND(#REF!,"AAAAAHrznwU=")</f>
        <v>#REF!</v>
      </c>
      <c r="G50" t="e">
        <f>AND(#REF!,"AAAAAHrznwY=")</f>
        <v>#REF!</v>
      </c>
      <c r="H50" t="e">
        <f>AND(#REF!,"AAAAAHrznwc=")</f>
        <v>#REF!</v>
      </c>
      <c r="I50" t="e">
        <f>AND(#REF!,"AAAAAHrznwg=")</f>
        <v>#REF!</v>
      </c>
      <c r="J50" t="e">
        <f>AND(#REF!,"AAAAAHrznwk=")</f>
        <v>#REF!</v>
      </c>
      <c r="K50" t="e">
        <f>AND(#REF!,"AAAAAHrznwo=")</f>
        <v>#REF!</v>
      </c>
      <c r="L50" t="e">
        <f>AND(#REF!,"AAAAAHrznws=")</f>
        <v>#REF!</v>
      </c>
      <c r="M50" t="e">
        <f>AND(#REF!,"AAAAAHrznww=")</f>
        <v>#REF!</v>
      </c>
      <c r="N50" t="e">
        <f>AND(#REF!,"AAAAAHrznw0=")</f>
        <v>#REF!</v>
      </c>
      <c r="O50" t="e">
        <f>IF(#REF!,"AAAAAHrznw4=",0)</f>
        <v>#REF!</v>
      </c>
      <c r="P50" t="e">
        <f>AND(#REF!,"AAAAAHrznw8=")</f>
        <v>#REF!</v>
      </c>
      <c r="Q50" t="e">
        <f>AND(#REF!,"AAAAAHrznxA=")</f>
        <v>#REF!</v>
      </c>
      <c r="R50" t="e">
        <f>AND(#REF!,"AAAAAHrznxE=")</f>
        <v>#REF!</v>
      </c>
      <c r="S50" t="e">
        <f>AND(#REF!,"AAAAAHrznxI=")</f>
        <v>#REF!</v>
      </c>
      <c r="T50" t="e">
        <f>AND(#REF!,"AAAAAHrznxM=")</f>
        <v>#REF!</v>
      </c>
      <c r="U50" t="e">
        <f>AND(#REF!,"AAAAAHrznxQ=")</f>
        <v>#REF!</v>
      </c>
      <c r="V50" t="e">
        <f>AND(#REF!,"AAAAAHrznxU=")</f>
        <v>#REF!</v>
      </c>
      <c r="W50" t="e">
        <f>AND(#REF!,"AAAAAHrznxY=")</f>
        <v>#REF!</v>
      </c>
      <c r="X50" t="e">
        <f>AND(#REF!,"AAAAAHrznxc=")</f>
        <v>#REF!</v>
      </c>
      <c r="Y50" t="e">
        <f>AND(#REF!,"AAAAAHrznxg=")</f>
        <v>#REF!</v>
      </c>
      <c r="Z50" t="e">
        <f>AND(#REF!,"AAAAAHrznxk=")</f>
        <v>#REF!</v>
      </c>
      <c r="AA50" t="e">
        <f>AND(#REF!,"AAAAAHrznxo=")</f>
        <v>#REF!</v>
      </c>
      <c r="AB50" t="e">
        <f>AND(#REF!,"AAAAAHrznxs=")</f>
        <v>#REF!</v>
      </c>
      <c r="AC50" t="e">
        <f>IF(#REF!,"AAAAAHrznxw=",0)</f>
        <v>#REF!</v>
      </c>
      <c r="AD50" t="e">
        <f>AND(#REF!,"AAAAAHrznx0=")</f>
        <v>#REF!</v>
      </c>
      <c r="AE50" t="e">
        <f>AND(#REF!,"AAAAAHrznx4=")</f>
        <v>#REF!</v>
      </c>
      <c r="AF50" t="e">
        <f>AND(#REF!,"AAAAAHrznx8=")</f>
        <v>#REF!</v>
      </c>
      <c r="AG50" t="e">
        <f>AND(#REF!,"AAAAAHrznyA=")</f>
        <v>#REF!</v>
      </c>
      <c r="AH50" t="e">
        <f>AND(#REF!,"AAAAAHrznyE=")</f>
        <v>#REF!</v>
      </c>
      <c r="AI50" t="e">
        <f>AND(#REF!,"AAAAAHrznyI=")</f>
        <v>#REF!</v>
      </c>
      <c r="AJ50" t="e">
        <f>AND(#REF!,"AAAAAHrznyM=")</f>
        <v>#REF!</v>
      </c>
      <c r="AK50" t="e">
        <f>AND(#REF!,"AAAAAHrznyQ=")</f>
        <v>#REF!</v>
      </c>
      <c r="AL50" t="e">
        <f>AND(#REF!,"AAAAAHrznyU=")</f>
        <v>#REF!</v>
      </c>
      <c r="AM50" t="e">
        <f>AND(#REF!,"AAAAAHrznyY=")</f>
        <v>#REF!</v>
      </c>
      <c r="AN50" t="e">
        <f>AND(#REF!,"AAAAAHrznyc=")</f>
        <v>#REF!</v>
      </c>
      <c r="AO50" t="e">
        <f>AND(#REF!,"AAAAAHrznyg=")</f>
        <v>#REF!</v>
      </c>
      <c r="AP50" t="e">
        <f>AND(#REF!,"AAAAAHrznyk=")</f>
        <v>#REF!</v>
      </c>
      <c r="AQ50" t="e">
        <f>IF(#REF!,"AAAAAHrznyo=",0)</f>
        <v>#REF!</v>
      </c>
      <c r="AR50" t="e">
        <f>AND(#REF!,"AAAAAHrznys=")</f>
        <v>#REF!</v>
      </c>
      <c r="AS50" t="e">
        <f>AND(#REF!,"AAAAAHrznyw=")</f>
        <v>#REF!</v>
      </c>
      <c r="AT50" t="e">
        <f>AND(#REF!,"AAAAAHrzny0=")</f>
        <v>#REF!</v>
      </c>
      <c r="AU50" t="e">
        <f>AND(#REF!,"AAAAAHrzny4=")</f>
        <v>#REF!</v>
      </c>
      <c r="AV50" t="e">
        <f>AND(#REF!,"AAAAAHrzny8=")</f>
        <v>#REF!</v>
      </c>
      <c r="AW50" t="e">
        <f>AND(#REF!,"AAAAAHrznzA=")</f>
        <v>#REF!</v>
      </c>
      <c r="AX50" t="e">
        <f>AND(#REF!,"AAAAAHrznzE=")</f>
        <v>#REF!</v>
      </c>
      <c r="AY50" t="e">
        <f>AND(#REF!,"AAAAAHrznzI=")</f>
        <v>#REF!</v>
      </c>
      <c r="AZ50" t="e">
        <f>AND(#REF!,"AAAAAHrznzM=")</f>
        <v>#REF!</v>
      </c>
      <c r="BA50" t="e">
        <f>AND(#REF!,"AAAAAHrznzQ=")</f>
        <v>#REF!</v>
      </c>
      <c r="BB50" t="e">
        <f>AND(#REF!,"AAAAAHrznzU=")</f>
        <v>#REF!</v>
      </c>
      <c r="BC50" t="e">
        <f>AND(#REF!,"AAAAAHrznzY=")</f>
        <v>#REF!</v>
      </c>
      <c r="BD50" t="e">
        <f>AND(#REF!,"AAAAAHrznzc=")</f>
        <v>#REF!</v>
      </c>
      <c r="BE50" t="e">
        <f>IF(#REF!,"AAAAAHrznzg=",0)</f>
        <v>#REF!</v>
      </c>
      <c r="BF50" t="e">
        <f>AND(#REF!,"AAAAAHrznzk=")</f>
        <v>#REF!</v>
      </c>
      <c r="BG50" t="e">
        <f>AND(#REF!,"AAAAAHrznzo=")</f>
        <v>#REF!</v>
      </c>
      <c r="BH50" t="e">
        <f>AND(#REF!,"AAAAAHrznzs=")</f>
        <v>#REF!</v>
      </c>
      <c r="BI50" t="e">
        <f>AND(#REF!,"AAAAAHrznzw=")</f>
        <v>#REF!</v>
      </c>
      <c r="BJ50" t="e">
        <f>AND(#REF!,"AAAAAHrznz0=")</f>
        <v>#REF!</v>
      </c>
      <c r="BK50" t="e">
        <f>AND(#REF!,"AAAAAHrznz4=")</f>
        <v>#REF!</v>
      </c>
      <c r="BL50" t="e">
        <f>AND(#REF!,"AAAAAHrznz8=")</f>
        <v>#REF!</v>
      </c>
      <c r="BM50" t="e">
        <f>AND(#REF!,"AAAAAHrzn0A=")</f>
        <v>#REF!</v>
      </c>
      <c r="BN50" t="e">
        <f>AND(#REF!,"AAAAAHrzn0E=")</f>
        <v>#REF!</v>
      </c>
      <c r="BO50" t="e">
        <f>AND(#REF!,"AAAAAHrzn0I=")</f>
        <v>#REF!</v>
      </c>
      <c r="BP50" t="e">
        <f>AND(#REF!,"AAAAAHrzn0M=")</f>
        <v>#REF!</v>
      </c>
      <c r="BQ50" t="e">
        <f>AND(#REF!,"AAAAAHrzn0Q=")</f>
        <v>#REF!</v>
      </c>
      <c r="BR50" t="e">
        <f>AND(#REF!,"AAAAAHrzn0U=")</f>
        <v>#REF!</v>
      </c>
      <c r="BS50" t="e">
        <f>IF(#REF!,"AAAAAHrzn0Y=",0)</f>
        <v>#REF!</v>
      </c>
      <c r="BT50" t="e">
        <f>AND(#REF!,"AAAAAHrzn0c=")</f>
        <v>#REF!</v>
      </c>
      <c r="BU50" t="e">
        <f>AND(#REF!,"AAAAAHrzn0g=")</f>
        <v>#REF!</v>
      </c>
      <c r="BV50" t="e">
        <f>AND(#REF!,"AAAAAHrzn0k=")</f>
        <v>#REF!</v>
      </c>
      <c r="BW50" t="e">
        <f>AND(#REF!,"AAAAAHrzn0o=")</f>
        <v>#REF!</v>
      </c>
      <c r="BX50" t="e">
        <f>AND(#REF!,"AAAAAHrzn0s=")</f>
        <v>#REF!</v>
      </c>
      <c r="BY50" t="e">
        <f>AND(#REF!,"AAAAAHrzn0w=")</f>
        <v>#REF!</v>
      </c>
      <c r="BZ50" t="e">
        <f>AND(#REF!,"AAAAAHrzn00=")</f>
        <v>#REF!</v>
      </c>
      <c r="CA50" t="e">
        <f>AND(#REF!,"AAAAAHrzn04=")</f>
        <v>#REF!</v>
      </c>
      <c r="CB50" t="e">
        <f>AND(#REF!,"AAAAAHrzn08=")</f>
        <v>#REF!</v>
      </c>
      <c r="CC50" t="e">
        <f>AND(#REF!,"AAAAAHrzn1A=")</f>
        <v>#REF!</v>
      </c>
      <c r="CD50" t="e">
        <f>AND(#REF!,"AAAAAHrzn1E=")</f>
        <v>#REF!</v>
      </c>
      <c r="CE50" t="e">
        <f>AND(#REF!,"AAAAAHrzn1I=")</f>
        <v>#REF!</v>
      </c>
      <c r="CF50" t="e">
        <f>AND(#REF!,"AAAAAHrzn1M=")</f>
        <v>#REF!</v>
      </c>
      <c r="CG50" t="e">
        <f>IF(#REF!,"AAAAAHrzn1Q=",0)</f>
        <v>#REF!</v>
      </c>
      <c r="CH50" t="e">
        <f>AND(#REF!,"AAAAAHrzn1U=")</f>
        <v>#REF!</v>
      </c>
      <c r="CI50" t="e">
        <f>AND(#REF!,"AAAAAHrzn1Y=")</f>
        <v>#REF!</v>
      </c>
      <c r="CJ50" t="e">
        <f>AND(#REF!,"AAAAAHrzn1c=")</f>
        <v>#REF!</v>
      </c>
      <c r="CK50" t="e">
        <f>AND(#REF!,"AAAAAHrzn1g=")</f>
        <v>#REF!</v>
      </c>
      <c r="CL50" t="e">
        <f>AND(#REF!,"AAAAAHrzn1k=")</f>
        <v>#REF!</v>
      </c>
      <c r="CM50" t="e">
        <f>AND(#REF!,"AAAAAHrzn1o=")</f>
        <v>#REF!</v>
      </c>
      <c r="CN50" t="e">
        <f>AND(#REF!,"AAAAAHrzn1s=")</f>
        <v>#REF!</v>
      </c>
      <c r="CO50" t="e">
        <f>AND(#REF!,"AAAAAHrzn1w=")</f>
        <v>#REF!</v>
      </c>
      <c r="CP50" t="e">
        <f>AND(#REF!,"AAAAAHrzn10=")</f>
        <v>#REF!</v>
      </c>
      <c r="CQ50" t="e">
        <f>AND(#REF!,"AAAAAHrzn14=")</f>
        <v>#REF!</v>
      </c>
      <c r="CR50" t="e">
        <f>AND(#REF!,"AAAAAHrzn18=")</f>
        <v>#REF!</v>
      </c>
      <c r="CS50" t="e">
        <f>AND(#REF!,"AAAAAHrzn2A=")</f>
        <v>#REF!</v>
      </c>
      <c r="CT50" t="e">
        <f>AND(#REF!,"AAAAAHrzn2E=")</f>
        <v>#REF!</v>
      </c>
      <c r="CU50" t="e">
        <f>IF(#REF!,"AAAAAHrzn2I=",0)</f>
        <v>#REF!</v>
      </c>
      <c r="CV50" t="e">
        <f>AND(#REF!,"AAAAAHrzn2M=")</f>
        <v>#REF!</v>
      </c>
      <c r="CW50" t="e">
        <f>AND(#REF!,"AAAAAHrzn2Q=")</f>
        <v>#REF!</v>
      </c>
      <c r="CX50" t="e">
        <f>AND(#REF!,"AAAAAHrzn2U=")</f>
        <v>#REF!</v>
      </c>
      <c r="CY50" t="e">
        <f>AND(#REF!,"AAAAAHrzn2Y=")</f>
        <v>#REF!</v>
      </c>
      <c r="CZ50" t="e">
        <f>AND(#REF!,"AAAAAHrzn2c=")</f>
        <v>#REF!</v>
      </c>
      <c r="DA50" t="e">
        <f>AND(#REF!,"AAAAAHrzn2g=")</f>
        <v>#REF!</v>
      </c>
      <c r="DB50" t="e">
        <f>AND(#REF!,"AAAAAHrzn2k=")</f>
        <v>#REF!</v>
      </c>
      <c r="DC50" t="e">
        <f>AND(#REF!,"AAAAAHrzn2o=")</f>
        <v>#REF!</v>
      </c>
      <c r="DD50" t="e">
        <f>AND(#REF!,"AAAAAHrzn2s=")</f>
        <v>#REF!</v>
      </c>
      <c r="DE50" t="e">
        <f>AND(#REF!,"AAAAAHrzn2w=")</f>
        <v>#REF!</v>
      </c>
      <c r="DF50" t="e">
        <f>AND(#REF!,"AAAAAHrzn20=")</f>
        <v>#REF!</v>
      </c>
      <c r="DG50" t="e">
        <f>AND(#REF!,"AAAAAHrzn24=")</f>
        <v>#REF!</v>
      </c>
      <c r="DH50" t="e">
        <f>AND(#REF!,"AAAAAHrzn28=")</f>
        <v>#REF!</v>
      </c>
      <c r="DI50" t="e">
        <f>IF(#REF!,"AAAAAHrzn3A=",0)</f>
        <v>#REF!</v>
      </c>
      <c r="DJ50" t="e">
        <f>AND(#REF!,"AAAAAHrzn3E=")</f>
        <v>#REF!</v>
      </c>
      <c r="DK50" t="e">
        <f>AND(#REF!,"AAAAAHrzn3I=")</f>
        <v>#REF!</v>
      </c>
      <c r="DL50" t="e">
        <f>AND(#REF!,"AAAAAHrzn3M=")</f>
        <v>#REF!</v>
      </c>
      <c r="DM50" t="e">
        <f>AND(#REF!,"AAAAAHrzn3Q=")</f>
        <v>#REF!</v>
      </c>
      <c r="DN50" t="e">
        <f>AND(#REF!,"AAAAAHrzn3U=")</f>
        <v>#REF!</v>
      </c>
      <c r="DO50" t="e">
        <f>AND(#REF!,"AAAAAHrzn3Y=")</f>
        <v>#REF!</v>
      </c>
      <c r="DP50" t="e">
        <f>AND(#REF!,"AAAAAHrzn3c=")</f>
        <v>#REF!</v>
      </c>
      <c r="DQ50" t="e">
        <f>AND(#REF!,"AAAAAHrzn3g=")</f>
        <v>#REF!</v>
      </c>
      <c r="DR50" t="e">
        <f>AND(#REF!,"AAAAAHrzn3k=")</f>
        <v>#REF!</v>
      </c>
      <c r="DS50" t="e">
        <f>AND(#REF!,"AAAAAHrzn3o=")</f>
        <v>#REF!</v>
      </c>
      <c r="DT50" t="e">
        <f>AND(#REF!,"AAAAAHrzn3s=")</f>
        <v>#REF!</v>
      </c>
      <c r="DU50" t="e">
        <f>AND(#REF!,"AAAAAHrzn3w=")</f>
        <v>#REF!</v>
      </c>
      <c r="DV50" t="e">
        <f>AND(#REF!,"AAAAAHrzn30=")</f>
        <v>#REF!</v>
      </c>
      <c r="DW50" t="e">
        <f>IF(#REF!,"AAAAAHrzn34=",0)</f>
        <v>#REF!</v>
      </c>
      <c r="DX50" t="e">
        <f>AND(#REF!,"AAAAAHrzn38=")</f>
        <v>#REF!</v>
      </c>
      <c r="DY50" t="e">
        <f>AND(#REF!,"AAAAAHrzn4A=")</f>
        <v>#REF!</v>
      </c>
      <c r="DZ50" t="e">
        <f>AND(#REF!,"AAAAAHrzn4E=")</f>
        <v>#REF!</v>
      </c>
      <c r="EA50" t="e">
        <f>AND(#REF!,"AAAAAHrzn4I=")</f>
        <v>#REF!</v>
      </c>
      <c r="EB50" t="e">
        <f>AND(#REF!,"AAAAAHrzn4M=")</f>
        <v>#REF!</v>
      </c>
      <c r="EC50" t="e">
        <f>AND(#REF!,"AAAAAHrzn4Q=")</f>
        <v>#REF!</v>
      </c>
      <c r="ED50" t="e">
        <f>AND(#REF!,"AAAAAHrzn4U=")</f>
        <v>#REF!</v>
      </c>
      <c r="EE50" t="e">
        <f>AND(#REF!,"AAAAAHrzn4Y=")</f>
        <v>#REF!</v>
      </c>
      <c r="EF50" t="e">
        <f>AND(#REF!,"AAAAAHrzn4c=")</f>
        <v>#REF!</v>
      </c>
      <c r="EG50" t="e">
        <f>AND(#REF!,"AAAAAHrzn4g=")</f>
        <v>#REF!</v>
      </c>
      <c r="EH50" t="e">
        <f>AND(#REF!,"AAAAAHrzn4k=")</f>
        <v>#REF!</v>
      </c>
      <c r="EI50" t="e">
        <f>AND(#REF!,"AAAAAHrzn4o=")</f>
        <v>#REF!</v>
      </c>
      <c r="EJ50" t="e">
        <f>AND(#REF!,"AAAAAHrzn4s=")</f>
        <v>#REF!</v>
      </c>
      <c r="EK50" t="e">
        <f>IF(#REF!,"AAAAAHrzn4w=",0)</f>
        <v>#REF!</v>
      </c>
      <c r="EL50" t="e">
        <f>AND(#REF!,"AAAAAHrzn40=")</f>
        <v>#REF!</v>
      </c>
      <c r="EM50" t="e">
        <f>AND(#REF!,"AAAAAHrzn44=")</f>
        <v>#REF!</v>
      </c>
      <c r="EN50" t="e">
        <f>AND(#REF!,"AAAAAHrzn48=")</f>
        <v>#REF!</v>
      </c>
      <c r="EO50" t="e">
        <f>AND(#REF!,"AAAAAHrzn5A=")</f>
        <v>#REF!</v>
      </c>
      <c r="EP50" t="e">
        <f>AND(#REF!,"AAAAAHrzn5E=")</f>
        <v>#REF!</v>
      </c>
      <c r="EQ50" t="e">
        <f>AND(#REF!,"AAAAAHrzn5I=")</f>
        <v>#REF!</v>
      </c>
      <c r="ER50" t="e">
        <f>AND(#REF!,"AAAAAHrzn5M=")</f>
        <v>#REF!</v>
      </c>
      <c r="ES50" t="e">
        <f>AND(#REF!,"AAAAAHrzn5Q=")</f>
        <v>#REF!</v>
      </c>
      <c r="ET50" t="e">
        <f>AND(#REF!,"AAAAAHrzn5U=")</f>
        <v>#REF!</v>
      </c>
      <c r="EU50" t="e">
        <f>AND(#REF!,"AAAAAHrzn5Y=")</f>
        <v>#REF!</v>
      </c>
      <c r="EV50" t="e">
        <f>AND(#REF!,"AAAAAHrzn5c=")</f>
        <v>#REF!</v>
      </c>
      <c r="EW50" t="e">
        <f>AND(#REF!,"AAAAAHrzn5g=")</f>
        <v>#REF!</v>
      </c>
      <c r="EX50" t="e">
        <f>AND(#REF!,"AAAAAHrzn5k=")</f>
        <v>#REF!</v>
      </c>
      <c r="EY50" t="e">
        <f>IF(#REF!,"AAAAAHrzn5o=",0)</f>
        <v>#REF!</v>
      </c>
      <c r="EZ50" t="e">
        <f>AND(#REF!,"AAAAAHrzn5s=")</f>
        <v>#REF!</v>
      </c>
      <c r="FA50" t="e">
        <f>AND(#REF!,"AAAAAHrzn5w=")</f>
        <v>#REF!</v>
      </c>
      <c r="FB50" t="e">
        <f>AND(#REF!,"AAAAAHrzn50=")</f>
        <v>#REF!</v>
      </c>
      <c r="FC50" t="e">
        <f>AND(#REF!,"AAAAAHrzn54=")</f>
        <v>#REF!</v>
      </c>
      <c r="FD50" t="e">
        <f>AND(#REF!,"AAAAAHrzn58=")</f>
        <v>#REF!</v>
      </c>
      <c r="FE50" t="e">
        <f>AND(#REF!,"AAAAAHrzn6A=")</f>
        <v>#REF!</v>
      </c>
      <c r="FF50" t="e">
        <f>AND(#REF!,"AAAAAHrzn6E=")</f>
        <v>#REF!</v>
      </c>
      <c r="FG50" t="e">
        <f>AND(#REF!,"AAAAAHrzn6I=")</f>
        <v>#REF!</v>
      </c>
      <c r="FH50" t="e">
        <f>AND(#REF!,"AAAAAHrzn6M=")</f>
        <v>#REF!</v>
      </c>
      <c r="FI50" t="e">
        <f>AND(#REF!,"AAAAAHrzn6Q=")</f>
        <v>#REF!</v>
      </c>
      <c r="FJ50" t="e">
        <f>AND(#REF!,"AAAAAHrzn6U=")</f>
        <v>#REF!</v>
      </c>
      <c r="FK50" t="e">
        <f>AND(#REF!,"AAAAAHrzn6Y=")</f>
        <v>#REF!</v>
      </c>
      <c r="FL50" t="e">
        <f>AND(#REF!,"AAAAAHrzn6c=")</f>
        <v>#REF!</v>
      </c>
      <c r="FM50" t="e">
        <f>IF(#REF!,"AAAAAHrzn6g=",0)</f>
        <v>#REF!</v>
      </c>
      <c r="FN50" t="e">
        <f>AND(#REF!,"AAAAAHrzn6k=")</f>
        <v>#REF!</v>
      </c>
      <c r="FO50" t="e">
        <f>AND(#REF!,"AAAAAHrzn6o=")</f>
        <v>#REF!</v>
      </c>
      <c r="FP50" t="e">
        <f>AND(#REF!,"AAAAAHrzn6s=")</f>
        <v>#REF!</v>
      </c>
      <c r="FQ50" t="e">
        <f>AND(#REF!,"AAAAAHrzn6w=")</f>
        <v>#REF!</v>
      </c>
      <c r="FR50" t="e">
        <f>AND(#REF!,"AAAAAHrzn60=")</f>
        <v>#REF!</v>
      </c>
      <c r="FS50" t="e">
        <f>AND(#REF!,"AAAAAHrzn64=")</f>
        <v>#REF!</v>
      </c>
      <c r="FT50" t="e">
        <f>AND(#REF!,"AAAAAHrzn68=")</f>
        <v>#REF!</v>
      </c>
      <c r="FU50" t="e">
        <f>AND(#REF!,"AAAAAHrzn7A=")</f>
        <v>#REF!</v>
      </c>
      <c r="FV50" t="e">
        <f>AND(#REF!,"AAAAAHrzn7E=")</f>
        <v>#REF!</v>
      </c>
      <c r="FW50" t="e">
        <f>AND(#REF!,"AAAAAHrzn7I=")</f>
        <v>#REF!</v>
      </c>
      <c r="FX50" t="e">
        <f>AND(#REF!,"AAAAAHrzn7M=")</f>
        <v>#REF!</v>
      </c>
      <c r="FY50" t="e">
        <f>AND(#REF!,"AAAAAHrzn7Q=")</f>
        <v>#REF!</v>
      </c>
      <c r="FZ50" t="e">
        <f>AND(#REF!,"AAAAAHrzn7U=")</f>
        <v>#REF!</v>
      </c>
      <c r="GA50" t="e">
        <f>IF(#REF!,"AAAAAHrzn7Y=",0)</f>
        <v>#REF!</v>
      </c>
      <c r="GB50" t="e">
        <f>AND(#REF!,"AAAAAHrzn7c=")</f>
        <v>#REF!</v>
      </c>
      <c r="GC50" t="e">
        <f>AND(#REF!,"AAAAAHrzn7g=")</f>
        <v>#REF!</v>
      </c>
      <c r="GD50" t="e">
        <f>AND(#REF!,"AAAAAHrzn7k=")</f>
        <v>#REF!</v>
      </c>
      <c r="GE50" t="e">
        <f>AND(#REF!,"AAAAAHrzn7o=")</f>
        <v>#REF!</v>
      </c>
      <c r="GF50" t="e">
        <f>AND(#REF!,"AAAAAHrzn7s=")</f>
        <v>#REF!</v>
      </c>
      <c r="GG50" t="e">
        <f>AND(#REF!,"AAAAAHrzn7w=")</f>
        <v>#REF!</v>
      </c>
      <c r="GH50" t="e">
        <f>AND(#REF!,"AAAAAHrzn70=")</f>
        <v>#REF!</v>
      </c>
      <c r="GI50" t="e">
        <f>AND(#REF!,"AAAAAHrzn74=")</f>
        <v>#REF!</v>
      </c>
      <c r="GJ50" t="e">
        <f>AND(#REF!,"AAAAAHrzn78=")</f>
        <v>#REF!</v>
      </c>
      <c r="GK50" t="e">
        <f>AND(#REF!,"AAAAAHrzn8A=")</f>
        <v>#REF!</v>
      </c>
      <c r="GL50" t="e">
        <f>AND(#REF!,"AAAAAHrzn8E=")</f>
        <v>#REF!</v>
      </c>
      <c r="GM50" t="e">
        <f>AND(#REF!,"AAAAAHrzn8I=")</f>
        <v>#REF!</v>
      </c>
      <c r="GN50" t="e">
        <f>AND(#REF!,"AAAAAHrzn8M=")</f>
        <v>#REF!</v>
      </c>
      <c r="GO50">
        <f>IF(Examenes!19:19,"AAAAAHrzn8Q=",0)</f>
        <v>0</v>
      </c>
      <c r="GP50" t="e">
        <f>AND(Examenes!A19,"AAAAAHrzn8U=")</f>
        <v>#VALUE!</v>
      </c>
      <c r="GQ50" t="e">
        <f>AND(Examenes!#REF!,"AAAAAHrzn8Y=")</f>
        <v>#REF!</v>
      </c>
      <c r="GR50" t="b">
        <f>AND(Examenes!B19,"AAAAAHrzn8c=")</f>
        <v>1</v>
      </c>
      <c r="GS50" t="e">
        <f>AND(Examenes!#REF!,"AAAAAHrzn8g=")</f>
        <v>#REF!</v>
      </c>
      <c r="GT50" t="e">
        <f>AND(Examenes!#REF!,"AAAAAHrzn8k=")</f>
        <v>#REF!</v>
      </c>
      <c r="GU50" t="b">
        <f>AND(Examenes!C19,"AAAAAHrzn8o=")</f>
        <v>1</v>
      </c>
      <c r="GV50" t="e">
        <f>AND(Examenes!#REF!,"AAAAAHrzn8s=")</f>
        <v>#REF!</v>
      </c>
      <c r="GW50" t="e">
        <f>AND(Examenes!#REF!,"AAAAAHrzn8w=")</f>
        <v>#REF!</v>
      </c>
      <c r="GX50" t="b">
        <f>AND(Examenes!D19,"AAAAAHrzn80=")</f>
        <v>1</v>
      </c>
      <c r="GY50" t="e">
        <f>AND(Examenes!#REF!,"AAAAAHrzn84=")</f>
        <v>#REF!</v>
      </c>
      <c r="GZ50" t="b">
        <f>AND(Examenes!E19,"AAAAAHrzn88=")</f>
        <v>1</v>
      </c>
      <c r="HA50">
        <f>IF(Examenes!30:30,"AAAAAHrzn9A=",0)</f>
        <v>0</v>
      </c>
      <c r="HB50" t="e">
        <f>AND(Examenes!A30,"AAAAAHrzn9E=")</f>
        <v>#VALUE!</v>
      </c>
      <c r="HC50" t="e">
        <f>AND(Examenes!#REF!,"AAAAAHrzn9I=")</f>
        <v>#REF!</v>
      </c>
      <c r="HD50" t="b">
        <f>AND(Examenes!B30,"AAAAAHrzn9M=")</f>
        <v>1</v>
      </c>
      <c r="HE50" t="e">
        <f>AND(Examenes!#REF!,"AAAAAHrzn9Q=")</f>
        <v>#REF!</v>
      </c>
      <c r="HF50" t="e">
        <f>AND(Examenes!#REF!,"AAAAAHrzn9U=")</f>
        <v>#REF!</v>
      </c>
      <c r="HG50" t="b">
        <f>AND(Examenes!C30,"AAAAAHrzn9Y=")</f>
        <v>1</v>
      </c>
      <c r="HH50" t="e">
        <f>AND(Examenes!#REF!,"AAAAAHrzn9c=")</f>
        <v>#REF!</v>
      </c>
      <c r="HI50" t="e">
        <f>AND(Examenes!#REF!,"AAAAAHrzn9g=")</f>
        <v>#REF!</v>
      </c>
      <c r="HJ50" t="b">
        <f>AND(Examenes!D30,"AAAAAHrzn9k=")</f>
        <v>1</v>
      </c>
      <c r="HK50" t="e">
        <f>AND(Examenes!#REF!,"AAAAAHrzn9o=")</f>
        <v>#REF!</v>
      </c>
      <c r="HL50" t="b">
        <f>AND(Examenes!E30,"AAAAAHrzn9s=")</f>
        <v>1</v>
      </c>
      <c r="HM50" t="e">
        <f>IF(Examenes!#REF!,"AAAAAHrzn9w=",0)</f>
        <v>#REF!</v>
      </c>
      <c r="HN50" t="e">
        <f>AND(Examenes!#REF!,"AAAAAHrzn90=")</f>
        <v>#REF!</v>
      </c>
      <c r="HO50" t="e">
        <f>AND(Examenes!#REF!,"AAAAAHrzn94=")</f>
        <v>#REF!</v>
      </c>
      <c r="HP50" t="e">
        <f>AND(Examenes!#REF!,"AAAAAHrzn98=")</f>
        <v>#REF!</v>
      </c>
      <c r="HQ50" t="e">
        <f>AND(Examenes!#REF!,"AAAAAHrzn+A=")</f>
        <v>#REF!</v>
      </c>
      <c r="HR50" t="e">
        <f>AND(Examenes!#REF!,"AAAAAHrzn+E=")</f>
        <v>#REF!</v>
      </c>
      <c r="HS50" t="e">
        <f>AND(Examenes!#REF!,"AAAAAHrzn+I=")</f>
        <v>#REF!</v>
      </c>
      <c r="HT50" t="e">
        <f>AND(Examenes!#REF!,"AAAAAHrzn+M=")</f>
        <v>#REF!</v>
      </c>
      <c r="HU50" t="e">
        <f>AND(Examenes!#REF!,"AAAAAHrzn+Q=")</f>
        <v>#REF!</v>
      </c>
      <c r="HV50" t="e">
        <f>AND(Examenes!#REF!,"AAAAAHrzn+U=")</f>
        <v>#REF!</v>
      </c>
      <c r="HW50" t="e">
        <f>AND(Examenes!#REF!,"AAAAAHrzn+Y=")</f>
        <v>#REF!</v>
      </c>
      <c r="HX50" t="e">
        <f>AND(Examenes!#REF!,"AAAAAHrzn+c=")</f>
        <v>#REF!</v>
      </c>
      <c r="HY50" t="e">
        <f>IF(Examenes!#REF!,"AAAAAHrzn+g=",0)</f>
        <v>#REF!</v>
      </c>
      <c r="HZ50" t="e">
        <f>AND(Examenes!#REF!,"AAAAAHrzn+k=")</f>
        <v>#REF!</v>
      </c>
      <c r="IA50" t="e">
        <f>AND(Examenes!#REF!,"AAAAAHrzn+o=")</f>
        <v>#REF!</v>
      </c>
      <c r="IB50" t="e">
        <f>AND(Examenes!#REF!,"AAAAAHrzn+s=")</f>
        <v>#REF!</v>
      </c>
      <c r="IC50" t="e">
        <f>AND(Examenes!#REF!,"AAAAAHrzn+w=")</f>
        <v>#REF!</v>
      </c>
      <c r="ID50" t="e">
        <f>AND(Examenes!#REF!,"AAAAAHrzn+0=")</f>
        <v>#REF!</v>
      </c>
      <c r="IE50" t="e">
        <f>AND(Examenes!#REF!,"AAAAAHrzn+4=")</f>
        <v>#REF!</v>
      </c>
      <c r="IF50" t="e">
        <f>AND(Examenes!#REF!,"AAAAAHrzn+8=")</f>
        <v>#REF!</v>
      </c>
      <c r="IG50" t="e">
        <f>AND(Examenes!#REF!,"AAAAAHrzn/A=")</f>
        <v>#REF!</v>
      </c>
      <c r="IH50" t="e">
        <f>AND(Examenes!#REF!,"AAAAAHrzn/E=")</f>
        <v>#REF!</v>
      </c>
      <c r="II50" t="e">
        <f>AND(Examenes!#REF!,"AAAAAHrzn/I=")</f>
        <v>#REF!</v>
      </c>
      <c r="IJ50" t="e">
        <f>AND(Examenes!#REF!,"AAAAAHrzn/M=")</f>
        <v>#REF!</v>
      </c>
      <c r="IK50" t="e">
        <f>IF(Examenes!#REF!,"AAAAAHrzn/Q=",0)</f>
        <v>#REF!</v>
      </c>
      <c r="IL50" t="e">
        <f>AND(Examenes!#REF!,"AAAAAHrzn/U=")</f>
        <v>#REF!</v>
      </c>
      <c r="IM50" t="e">
        <f>AND(Examenes!#REF!,"AAAAAHrzn/Y=")</f>
        <v>#REF!</v>
      </c>
      <c r="IN50" t="e">
        <f>AND(Examenes!#REF!,"AAAAAHrzn/c=")</f>
        <v>#REF!</v>
      </c>
      <c r="IO50" t="e">
        <f>AND(Examenes!#REF!,"AAAAAHrzn/g=")</f>
        <v>#REF!</v>
      </c>
      <c r="IP50" t="e">
        <f>AND(Examenes!#REF!,"AAAAAHrzn/k=")</f>
        <v>#REF!</v>
      </c>
      <c r="IQ50" t="e">
        <f>AND(Examenes!#REF!,"AAAAAHrzn/o=")</f>
        <v>#REF!</v>
      </c>
      <c r="IR50" t="e">
        <f>AND(Examenes!#REF!,"AAAAAHrzn/s=")</f>
        <v>#REF!</v>
      </c>
      <c r="IS50" t="e">
        <f>AND(Examenes!#REF!,"AAAAAHrzn/w=")</f>
        <v>#REF!</v>
      </c>
      <c r="IT50" t="e">
        <f>AND(Examenes!#REF!,"AAAAAHrzn/0=")</f>
        <v>#REF!</v>
      </c>
      <c r="IU50" t="e">
        <f>AND(Examenes!#REF!,"AAAAAHrzn/4=")</f>
        <v>#REF!</v>
      </c>
      <c r="IV50" t="e">
        <f>AND(Examenes!#REF!,"AAAAAHrzn/8=")</f>
        <v>#REF!</v>
      </c>
    </row>
    <row r="51" spans="1:256" x14ac:dyDescent="0.35">
      <c r="A51" t="e">
        <f>IF(Examenes!#REF!,"AAAAAHOm/AA=",0)</f>
        <v>#REF!</v>
      </c>
      <c r="B51" t="e">
        <f>AND(Examenes!#REF!,"AAAAAHOm/AE=")</f>
        <v>#REF!</v>
      </c>
      <c r="C51" t="e">
        <f>AND(Examenes!#REF!,"AAAAAHOm/AI=")</f>
        <v>#REF!</v>
      </c>
      <c r="D51" t="e">
        <f>AND(Examenes!#REF!,"AAAAAHOm/AM=")</f>
        <v>#REF!</v>
      </c>
      <c r="E51" t="e">
        <f>AND(Examenes!#REF!,"AAAAAHOm/AQ=")</f>
        <v>#REF!</v>
      </c>
      <c r="F51" t="e">
        <f>AND(Examenes!#REF!,"AAAAAHOm/AU=")</f>
        <v>#REF!</v>
      </c>
      <c r="G51" t="e">
        <f>AND(Examenes!#REF!,"AAAAAHOm/AY=")</f>
        <v>#REF!</v>
      </c>
      <c r="H51" t="e">
        <f>AND(Examenes!#REF!,"AAAAAHOm/Ac=")</f>
        <v>#REF!</v>
      </c>
      <c r="I51" t="e">
        <f>AND(Examenes!#REF!,"AAAAAHOm/Ag=")</f>
        <v>#REF!</v>
      </c>
      <c r="J51" t="e">
        <f>AND(Examenes!#REF!,"AAAAAHOm/Ak=")</f>
        <v>#REF!</v>
      </c>
      <c r="K51" t="e">
        <f>AND(Examenes!#REF!,"AAAAAHOm/Ao=")</f>
        <v>#REF!</v>
      </c>
      <c r="L51" t="e">
        <f>AND(Examenes!#REF!,"AAAAAHOm/As=")</f>
        <v>#REF!</v>
      </c>
    </row>
    <row r="52" spans="1:256" x14ac:dyDescent="0.35">
      <c r="A52" t="e">
        <f>IF(Examenes!#REF!,"AAAAAG/deQA=",0)</f>
        <v>#REF!</v>
      </c>
      <c r="B52" t="e">
        <f>AND(Examenes!#REF!,"AAAAAG/deQE=")</f>
        <v>#REF!</v>
      </c>
      <c r="C52" t="e">
        <f>AND(Examenes!#REF!,"AAAAAG/deQI=")</f>
        <v>#REF!</v>
      </c>
      <c r="D52" t="e">
        <f>AND(Examenes!#REF!,"AAAAAG/deQM=")</f>
        <v>#REF!</v>
      </c>
      <c r="E52" t="e">
        <f>AND(Examenes!#REF!,"AAAAAG/deQQ=")</f>
        <v>#REF!</v>
      </c>
      <c r="F52" t="e">
        <f>AND(Examenes!#REF!,"AAAAAG/deQU=")</f>
        <v>#REF!</v>
      </c>
      <c r="G52" t="e">
        <f>AND(Examenes!#REF!,"AAAAAG/deQY=")</f>
        <v>#REF!</v>
      </c>
      <c r="H52" t="e">
        <f>AND(Examenes!#REF!,"AAAAAG/deQc=")</f>
        <v>#REF!</v>
      </c>
      <c r="I52" t="e">
        <f>AND(Examenes!#REF!,"AAAAAG/deQg=")</f>
        <v>#REF!</v>
      </c>
      <c r="J52" t="e">
        <f>AND(Examenes!#REF!,"AAAAAG/deQk=")</f>
        <v>#REF!</v>
      </c>
      <c r="K52" t="e">
        <f>AND(Examenes!#REF!,"AAAAAG/deQo=")</f>
        <v>#REF!</v>
      </c>
      <c r="L52" t="e">
        <f>AND(Examenes!#REF!,"AAAAAG/deQs=")</f>
        <v>#REF!</v>
      </c>
    </row>
    <row r="53" spans="1:256" x14ac:dyDescent="0.35">
      <c r="A53" t="e">
        <f>IF(#REF!,"AAAAAHvbfwA=",0)</f>
        <v>#REF!</v>
      </c>
      <c r="B53" t="e">
        <f>AND(#REF!,"AAAAAHvbfwE=")</f>
        <v>#REF!</v>
      </c>
      <c r="C53" t="e">
        <f>AND(#REF!,"AAAAAHvbfwI=")</f>
        <v>#REF!</v>
      </c>
      <c r="D53" t="e">
        <f>AND(#REF!,"AAAAAHvbfwM=")</f>
        <v>#REF!</v>
      </c>
      <c r="E53" t="e">
        <f>AND(#REF!,"AAAAAHvbfwQ=")</f>
        <v>#REF!</v>
      </c>
      <c r="F53" t="e">
        <f>AND(#REF!,"AAAAAHvbfwU=")</f>
        <v>#REF!</v>
      </c>
      <c r="G53" t="e">
        <f>AND(#REF!,"AAAAAHvbfwY=")</f>
        <v>#REF!</v>
      </c>
      <c r="H53" t="e">
        <f>AND(#REF!,"AAAAAHvbfwc=")</f>
        <v>#REF!</v>
      </c>
      <c r="I53" t="e">
        <f>AND(#REF!,"AAAAAHvbfwg=")</f>
        <v>#REF!</v>
      </c>
      <c r="J53" t="e">
        <f>AND(#REF!,"AAAAAHvbfwk=")</f>
        <v>#REF!</v>
      </c>
      <c r="K53" t="e">
        <f>AND(#REF!,"AAAAAHvbfwo=")</f>
        <v>#REF!</v>
      </c>
      <c r="L53" t="e">
        <f>AND(#REF!,"AAAAAHvbfws=")</f>
        <v>#REF!</v>
      </c>
      <c r="M53" t="e">
        <f>AND(#REF!,"AAAAAHvbfww=")</f>
        <v>#REF!</v>
      </c>
      <c r="N53" t="e">
        <f>AND(#REF!,"AAAAAHvbfw0=")</f>
        <v>#REF!</v>
      </c>
      <c r="O53" t="e">
        <f>AND(#REF!,"AAAAAHvbfw4=")</f>
        <v>#REF!</v>
      </c>
      <c r="P53" t="e">
        <f>AND(#REF!,"AAAAAHvbfw8=")</f>
        <v>#REF!</v>
      </c>
      <c r="Q53" t="e">
        <f>IF(#REF!,"AAAAAHvbfxA=",0)</f>
        <v>#REF!</v>
      </c>
      <c r="R53" t="e">
        <f>AND(#REF!,"AAAAAHvbfxE=")</f>
        <v>#REF!</v>
      </c>
      <c r="S53" t="e">
        <f>AND(#REF!,"AAAAAHvbfxI=")</f>
        <v>#REF!</v>
      </c>
      <c r="T53" t="e">
        <f>AND(#REF!,"AAAAAHvbfxM=")</f>
        <v>#REF!</v>
      </c>
      <c r="U53" t="e">
        <f>AND(#REF!,"AAAAAHvbfxQ=")</f>
        <v>#REF!</v>
      </c>
      <c r="V53" t="e">
        <f>AND(#REF!,"AAAAAHvbfxU=")</f>
        <v>#REF!</v>
      </c>
      <c r="W53" t="e">
        <f>AND(#REF!,"AAAAAHvbfxY=")</f>
        <v>#REF!</v>
      </c>
      <c r="X53" t="e">
        <f>AND(#REF!,"AAAAAHvbfxc=")</f>
        <v>#REF!</v>
      </c>
      <c r="Y53" t="e">
        <f>AND(#REF!,"AAAAAHvbfxg=")</f>
        <v>#REF!</v>
      </c>
      <c r="Z53" t="e">
        <f>AND(#REF!,"AAAAAHvbfxk=")</f>
        <v>#REF!</v>
      </c>
      <c r="AA53" t="e">
        <f>AND(#REF!,"AAAAAHvbfxo=")</f>
        <v>#REF!</v>
      </c>
      <c r="AB53" t="e">
        <f>AND(#REF!,"AAAAAHvbfxs=")</f>
        <v>#REF!</v>
      </c>
      <c r="AC53" t="e">
        <f>AND(#REF!,"AAAAAHvbfxw=")</f>
        <v>#REF!</v>
      </c>
      <c r="AD53" t="e">
        <f>AND(#REF!,"AAAAAHvbfx0=")</f>
        <v>#REF!</v>
      </c>
      <c r="AE53" t="e">
        <f>AND(#REF!,"AAAAAHvbfx4=")</f>
        <v>#REF!</v>
      </c>
      <c r="AF53" t="e">
        <f>AND(#REF!,"AAAAAHvbfx8=")</f>
        <v>#REF!</v>
      </c>
      <c r="AG53" t="e">
        <f>IF(#REF!,"AAAAAHvbfyA=",0)</f>
        <v>#REF!</v>
      </c>
      <c r="AH53" t="e">
        <f>AND(#REF!,"AAAAAHvbfyE=")</f>
        <v>#REF!</v>
      </c>
      <c r="AI53" t="e">
        <f>AND(#REF!,"AAAAAHvbfyI=")</f>
        <v>#REF!</v>
      </c>
      <c r="AJ53" t="e">
        <f>AND(#REF!,"AAAAAHvbfyM=")</f>
        <v>#REF!</v>
      </c>
      <c r="AK53" t="e">
        <f>AND(#REF!,"AAAAAHvbfyQ=")</f>
        <v>#REF!</v>
      </c>
      <c r="AL53" t="e">
        <f>AND(#REF!,"AAAAAHvbfyU=")</f>
        <v>#REF!</v>
      </c>
      <c r="AM53" t="e">
        <f>AND(#REF!,"AAAAAHvbfyY=")</f>
        <v>#REF!</v>
      </c>
      <c r="AN53" t="e">
        <f>AND(#REF!,"AAAAAHvbfyc=")</f>
        <v>#REF!</v>
      </c>
      <c r="AO53" t="e">
        <f>AND(#REF!,"AAAAAHvbfyg=")</f>
        <v>#REF!</v>
      </c>
      <c r="AP53" t="e">
        <f>AND(#REF!,"AAAAAHvbfyk=")</f>
        <v>#REF!</v>
      </c>
      <c r="AQ53" t="e">
        <f>AND(#REF!,"AAAAAHvbfyo=")</f>
        <v>#REF!</v>
      </c>
      <c r="AR53" t="e">
        <f>AND(#REF!,"AAAAAHvbfys=")</f>
        <v>#REF!</v>
      </c>
      <c r="AS53" t="e">
        <f>AND(#REF!,"AAAAAHvbfyw=")</f>
        <v>#REF!</v>
      </c>
      <c r="AT53" t="e">
        <f>AND(#REF!,"AAAAAHvbfy0=")</f>
        <v>#REF!</v>
      </c>
      <c r="AU53" t="e">
        <f>AND(#REF!,"AAAAAHvbfy4=")</f>
        <v>#REF!</v>
      </c>
      <c r="AV53" t="e">
        <f>AND(#REF!,"AAAAAHvbfy8=")</f>
        <v>#REF!</v>
      </c>
      <c r="AW53" t="e">
        <f>IF(#REF!,"AAAAAHvbfzA=",0)</f>
        <v>#REF!</v>
      </c>
      <c r="AX53" t="e">
        <f>AND(#REF!,"AAAAAHvbfzE=")</f>
        <v>#REF!</v>
      </c>
      <c r="AY53" t="e">
        <f>AND(#REF!,"AAAAAHvbfzI=")</f>
        <v>#REF!</v>
      </c>
      <c r="AZ53" t="e">
        <f>AND(#REF!,"AAAAAHvbfzM=")</f>
        <v>#REF!</v>
      </c>
      <c r="BA53" t="e">
        <f>AND(#REF!,"AAAAAHvbfzQ=")</f>
        <v>#REF!</v>
      </c>
      <c r="BB53" t="e">
        <f>AND(#REF!,"AAAAAHvbfzU=")</f>
        <v>#REF!</v>
      </c>
      <c r="BC53" t="e">
        <f>AND(#REF!,"AAAAAHvbfzY=")</f>
        <v>#REF!</v>
      </c>
      <c r="BD53" t="e">
        <f>AND(#REF!,"AAAAAHvbfzc=")</f>
        <v>#REF!</v>
      </c>
      <c r="BE53" t="e">
        <f>AND(#REF!,"AAAAAHvbfzg=")</f>
        <v>#REF!</v>
      </c>
      <c r="BF53" t="e">
        <f>AND(#REF!,"AAAAAHvbfzk=")</f>
        <v>#REF!</v>
      </c>
      <c r="BG53" t="e">
        <f>AND(#REF!,"AAAAAHvbfzo=")</f>
        <v>#REF!</v>
      </c>
      <c r="BH53" t="e">
        <f>AND(#REF!,"AAAAAHvbfzs=")</f>
        <v>#REF!</v>
      </c>
      <c r="BI53" t="e">
        <f>AND(#REF!,"AAAAAHvbfzw=")</f>
        <v>#REF!</v>
      </c>
      <c r="BJ53" t="e">
        <f>AND(#REF!,"AAAAAHvbfz0=")</f>
        <v>#REF!</v>
      </c>
      <c r="BK53" t="e">
        <f>AND(#REF!,"AAAAAHvbfz4=")</f>
        <v>#REF!</v>
      </c>
      <c r="BL53" t="e">
        <f>AND(#REF!,"AAAAAHvbfz8=")</f>
        <v>#REF!</v>
      </c>
      <c r="BM53" t="e">
        <f>IF(#REF!,"AAAAAHvbf0A=",0)</f>
        <v>#REF!</v>
      </c>
      <c r="BN53" t="e">
        <f>AND(#REF!,"AAAAAHvbf0E=")</f>
        <v>#REF!</v>
      </c>
      <c r="BO53" t="e">
        <f>AND(#REF!,"AAAAAHvbf0I=")</f>
        <v>#REF!</v>
      </c>
      <c r="BP53" t="e">
        <f>AND(#REF!,"AAAAAHvbf0M=")</f>
        <v>#REF!</v>
      </c>
      <c r="BQ53" t="e">
        <f>AND(#REF!,"AAAAAHvbf0Q=")</f>
        <v>#REF!</v>
      </c>
      <c r="BR53" t="e">
        <f>AND(#REF!,"AAAAAHvbf0U=")</f>
        <v>#REF!</v>
      </c>
      <c r="BS53" t="e">
        <f>AND(#REF!,"AAAAAHvbf0Y=")</f>
        <v>#REF!</v>
      </c>
      <c r="BT53" t="e">
        <f>AND(#REF!,"AAAAAHvbf0c=")</f>
        <v>#REF!</v>
      </c>
      <c r="BU53" t="e">
        <f>AND(#REF!,"AAAAAHvbf0g=")</f>
        <v>#REF!</v>
      </c>
      <c r="BV53" t="e">
        <f>AND(#REF!,"AAAAAHvbf0k=")</f>
        <v>#REF!</v>
      </c>
      <c r="BW53" t="e">
        <f>AND(#REF!,"AAAAAHvbf0o=")</f>
        <v>#REF!</v>
      </c>
      <c r="BX53" t="e">
        <f>AND(#REF!,"AAAAAHvbf0s=")</f>
        <v>#REF!</v>
      </c>
      <c r="BY53" t="e">
        <f>AND(#REF!,"AAAAAHvbf0w=")</f>
        <v>#REF!</v>
      </c>
      <c r="BZ53" t="e">
        <f>AND(#REF!,"AAAAAHvbf00=")</f>
        <v>#REF!</v>
      </c>
      <c r="CA53" t="e">
        <f>AND(#REF!,"AAAAAHvbf04=")</f>
        <v>#REF!</v>
      </c>
      <c r="CB53" t="e">
        <f>AND(#REF!,"AAAAAHvbf08=")</f>
        <v>#REF!</v>
      </c>
      <c r="CC53" t="e">
        <f>IF(#REF!,"AAAAAHvbf1A=",0)</f>
        <v>#REF!</v>
      </c>
      <c r="CD53" t="e">
        <f>AND(#REF!,"AAAAAHvbf1E=")</f>
        <v>#REF!</v>
      </c>
      <c r="CE53" t="e">
        <f>AND(#REF!,"AAAAAHvbf1I=")</f>
        <v>#REF!</v>
      </c>
      <c r="CF53" t="e">
        <f>AND(#REF!,"AAAAAHvbf1M=")</f>
        <v>#REF!</v>
      </c>
      <c r="CG53" t="e">
        <f>AND(#REF!,"AAAAAHvbf1Q=")</f>
        <v>#REF!</v>
      </c>
      <c r="CH53" t="e">
        <f>AND(#REF!,"AAAAAHvbf1U=")</f>
        <v>#REF!</v>
      </c>
      <c r="CI53" t="e">
        <f>AND(#REF!,"AAAAAHvbf1Y=")</f>
        <v>#REF!</v>
      </c>
      <c r="CJ53" t="e">
        <f>AND(#REF!,"AAAAAHvbf1c=")</f>
        <v>#REF!</v>
      </c>
      <c r="CK53" t="e">
        <f>AND(#REF!,"AAAAAHvbf1g=")</f>
        <v>#REF!</v>
      </c>
      <c r="CL53" t="e">
        <f>AND(#REF!,"AAAAAHvbf1k=")</f>
        <v>#REF!</v>
      </c>
      <c r="CM53" t="e">
        <f>AND(#REF!,"AAAAAHvbf1o=")</f>
        <v>#REF!</v>
      </c>
      <c r="CN53" t="e">
        <f>AND(#REF!,"AAAAAHvbf1s=")</f>
        <v>#REF!</v>
      </c>
      <c r="CO53" t="e">
        <f>AND(#REF!,"AAAAAHvbf1w=")</f>
        <v>#REF!</v>
      </c>
      <c r="CP53" t="e">
        <f>AND(#REF!,"AAAAAHvbf10=")</f>
        <v>#REF!</v>
      </c>
      <c r="CQ53" t="e">
        <f>AND(#REF!,"AAAAAHvbf14=")</f>
        <v>#REF!</v>
      </c>
      <c r="CR53" t="e">
        <f>AND(#REF!,"AAAAAHvbf18=")</f>
        <v>#REF!</v>
      </c>
      <c r="CS53" t="e">
        <f>IF(#REF!,"AAAAAHvbf2A=",0)</f>
        <v>#REF!</v>
      </c>
      <c r="CT53" t="e">
        <f>AND(#REF!,"AAAAAHvbf2E=")</f>
        <v>#REF!</v>
      </c>
      <c r="CU53" t="e">
        <f>AND(#REF!,"AAAAAHvbf2I=")</f>
        <v>#REF!</v>
      </c>
      <c r="CV53" t="e">
        <f>AND(#REF!,"AAAAAHvbf2M=")</f>
        <v>#REF!</v>
      </c>
      <c r="CW53" t="e">
        <f>AND(#REF!,"AAAAAHvbf2Q=")</f>
        <v>#REF!</v>
      </c>
      <c r="CX53" t="e">
        <f>AND(#REF!,"AAAAAHvbf2U=")</f>
        <v>#REF!</v>
      </c>
      <c r="CY53" t="e">
        <f>AND(#REF!,"AAAAAHvbf2Y=")</f>
        <v>#REF!</v>
      </c>
      <c r="CZ53" t="e">
        <f>AND(#REF!,"AAAAAHvbf2c=")</f>
        <v>#REF!</v>
      </c>
      <c r="DA53" t="e">
        <f>AND(#REF!,"AAAAAHvbf2g=")</f>
        <v>#REF!</v>
      </c>
      <c r="DB53" t="e">
        <f>AND(#REF!,"AAAAAHvbf2k=")</f>
        <v>#REF!</v>
      </c>
      <c r="DC53" t="e">
        <f>AND(#REF!,"AAAAAHvbf2o=")</f>
        <v>#REF!</v>
      </c>
      <c r="DD53" t="e">
        <f>AND(#REF!,"AAAAAHvbf2s=")</f>
        <v>#REF!</v>
      </c>
      <c r="DE53" t="e">
        <f>AND(#REF!,"AAAAAHvbf2w=")</f>
        <v>#REF!</v>
      </c>
      <c r="DF53" t="e">
        <f>AND(#REF!,"AAAAAHvbf20=")</f>
        <v>#REF!</v>
      </c>
      <c r="DG53" t="e">
        <f>AND(#REF!,"AAAAAHvbf24=")</f>
        <v>#REF!</v>
      </c>
      <c r="DH53" t="e">
        <f>AND(#REF!,"AAAAAHvbf28=")</f>
        <v>#REF!</v>
      </c>
      <c r="DI53" t="e">
        <f>IF(#REF!,"AAAAAHvbf3A=",0)</f>
        <v>#REF!</v>
      </c>
      <c r="DJ53" t="e">
        <f>AND(#REF!,"AAAAAHvbf3E=")</f>
        <v>#REF!</v>
      </c>
      <c r="DK53" t="e">
        <f>AND(#REF!,"AAAAAHvbf3I=")</f>
        <v>#REF!</v>
      </c>
      <c r="DL53" t="e">
        <f>AND(#REF!,"AAAAAHvbf3M=")</f>
        <v>#REF!</v>
      </c>
      <c r="DM53" t="e">
        <f>AND(#REF!,"AAAAAHvbf3Q=")</f>
        <v>#REF!</v>
      </c>
      <c r="DN53" t="e">
        <f>AND(#REF!,"AAAAAHvbf3U=")</f>
        <v>#REF!</v>
      </c>
      <c r="DO53" t="e">
        <f>AND(#REF!,"AAAAAHvbf3Y=")</f>
        <v>#REF!</v>
      </c>
      <c r="DP53" t="e">
        <f>AND(#REF!,"AAAAAHvbf3c=")</f>
        <v>#REF!</v>
      </c>
      <c r="DQ53" t="e">
        <f>AND(#REF!,"AAAAAHvbf3g=")</f>
        <v>#REF!</v>
      </c>
      <c r="DR53" t="e">
        <f>AND(#REF!,"AAAAAHvbf3k=")</f>
        <v>#REF!</v>
      </c>
      <c r="DS53" t="e">
        <f>AND(#REF!,"AAAAAHvbf3o=")</f>
        <v>#REF!</v>
      </c>
      <c r="DT53" t="e">
        <f>AND(#REF!,"AAAAAHvbf3s=")</f>
        <v>#REF!</v>
      </c>
      <c r="DU53" t="e">
        <f>AND(#REF!,"AAAAAHvbf3w=")</f>
        <v>#REF!</v>
      </c>
      <c r="DV53" t="e">
        <f>AND(#REF!,"AAAAAHvbf30=")</f>
        <v>#REF!</v>
      </c>
      <c r="DW53" t="e">
        <f>AND(#REF!,"AAAAAHvbf34=")</f>
        <v>#REF!</v>
      </c>
      <c r="DX53" t="e">
        <f>AND(#REF!,"AAAAAHvbf38=")</f>
        <v>#REF!</v>
      </c>
      <c r="DY53" t="e">
        <f>IF(#REF!,"AAAAAHvbf4A=",0)</f>
        <v>#REF!</v>
      </c>
      <c r="DZ53" t="e">
        <f>AND(#REF!,"AAAAAHvbf4E=")</f>
        <v>#REF!</v>
      </c>
      <c r="EA53" t="e">
        <f>AND(#REF!,"AAAAAHvbf4I=")</f>
        <v>#REF!</v>
      </c>
      <c r="EB53" t="e">
        <f>AND(#REF!,"AAAAAHvbf4M=")</f>
        <v>#REF!</v>
      </c>
      <c r="EC53" t="e">
        <f>AND(#REF!,"AAAAAHvbf4Q=")</f>
        <v>#REF!</v>
      </c>
      <c r="ED53" t="e">
        <f>AND(#REF!,"AAAAAHvbf4U=")</f>
        <v>#REF!</v>
      </c>
      <c r="EE53" t="e">
        <f>AND(#REF!,"AAAAAHvbf4Y=")</f>
        <v>#REF!</v>
      </c>
      <c r="EF53" t="e">
        <f>AND(#REF!,"AAAAAHvbf4c=")</f>
        <v>#REF!</v>
      </c>
      <c r="EG53" t="e">
        <f>AND(#REF!,"AAAAAHvbf4g=")</f>
        <v>#REF!</v>
      </c>
      <c r="EH53" t="e">
        <f>AND(#REF!,"AAAAAHvbf4k=")</f>
        <v>#REF!</v>
      </c>
      <c r="EI53" t="e">
        <f>AND(#REF!,"AAAAAHvbf4o=")</f>
        <v>#REF!</v>
      </c>
      <c r="EJ53" t="e">
        <f>AND(#REF!,"AAAAAHvbf4s=")</f>
        <v>#REF!</v>
      </c>
      <c r="EK53" t="e">
        <f>AND(#REF!,"AAAAAHvbf4w=")</f>
        <v>#REF!</v>
      </c>
      <c r="EL53" t="e">
        <f>AND(#REF!,"AAAAAHvbf40=")</f>
        <v>#REF!</v>
      </c>
      <c r="EM53" t="e">
        <f>AND(#REF!,"AAAAAHvbf44=")</f>
        <v>#REF!</v>
      </c>
      <c r="EN53" t="e">
        <f>AND(#REF!,"AAAAAHvbf48=")</f>
        <v>#REF!</v>
      </c>
      <c r="EO53" t="e">
        <f>IF(#REF!,"AAAAAHvbf5A=",0)</f>
        <v>#REF!</v>
      </c>
      <c r="EP53" t="e">
        <f>AND(#REF!,"AAAAAHvbf5E=")</f>
        <v>#REF!</v>
      </c>
      <c r="EQ53" t="e">
        <f>AND(#REF!,"AAAAAHvbf5I=")</f>
        <v>#REF!</v>
      </c>
      <c r="ER53" t="e">
        <f>AND(#REF!,"AAAAAHvbf5M=")</f>
        <v>#REF!</v>
      </c>
      <c r="ES53" t="e">
        <f>AND(#REF!,"AAAAAHvbf5Q=")</f>
        <v>#REF!</v>
      </c>
      <c r="ET53" t="e">
        <f>AND(#REF!,"AAAAAHvbf5U=")</f>
        <v>#REF!</v>
      </c>
      <c r="EU53" t="e">
        <f>AND(#REF!,"AAAAAHvbf5Y=")</f>
        <v>#REF!</v>
      </c>
      <c r="EV53" t="e">
        <f>AND(#REF!,"AAAAAHvbf5c=")</f>
        <v>#REF!</v>
      </c>
      <c r="EW53" t="e">
        <f>AND(#REF!,"AAAAAHvbf5g=")</f>
        <v>#REF!</v>
      </c>
      <c r="EX53" t="e">
        <f>AND(#REF!,"AAAAAHvbf5k=")</f>
        <v>#REF!</v>
      </c>
      <c r="EY53" t="e">
        <f>AND(#REF!,"AAAAAHvbf5o=")</f>
        <v>#REF!</v>
      </c>
      <c r="EZ53" t="e">
        <f>AND(#REF!,"AAAAAHvbf5s=")</f>
        <v>#REF!</v>
      </c>
      <c r="FA53" t="e">
        <f>AND(#REF!,"AAAAAHvbf5w=")</f>
        <v>#REF!</v>
      </c>
      <c r="FB53" t="e">
        <f>AND(#REF!,"AAAAAHvbf50=")</f>
        <v>#REF!</v>
      </c>
      <c r="FC53" t="e">
        <f>AND(#REF!,"AAAAAHvbf54=")</f>
        <v>#REF!</v>
      </c>
      <c r="FD53" t="e">
        <f>AND(#REF!,"AAAAAHvbf58=")</f>
        <v>#REF!</v>
      </c>
      <c r="FE53" t="e">
        <f>IF(#REF!,"AAAAAHvbf6A=",0)</f>
        <v>#REF!</v>
      </c>
      <c r="FF53" t="e">
        <f>AND(#REF!,"AAAAAHvbf6E=")</f>
        <v>#REF!</v>
      </c>
      <c r="FG53" t="e">
        <f>AND(#REF!,"AAAAAHvbf6I=")</f>
        <v>#REF!</v>
      </c>
      <c r="FH53" t="e">
        <f>AND(#REF!,"AAAAAHvbf6M=")</f>
        <v>#REF!</v>
      </c>
      <c r="FI53" t="e">
        <f>AND(#REF!,"AAAAAHvbf6Q=")</f>
        <v>#REF!</v>
      </c>
      <c r="FJ53" t="e">
        <f>AND(#REF!,"AAAAAHvbf6U=")</f>
        <v>#REF!</v>
      </c>
      <c r="FK53" t="e">
        <f>AND(#REF!,"AAAAAHvbf6Y=")</f>
        <v>#REF!</v>
      </c>
      <c r="FL53" t="e">
        <f>AND(#REF!,"AAAAAHvbf6c=")</f>
        <v>#REF!</v>
      </c>
      <c r="FM53" t="e">
        <f>AND(#REF!,"AAAAAHvbf6g=")</f>
        <v>#REF!</v>
      </c>
      <c r="FN53" t="e">
        <f>AND(#REF!,"AAAAAHvbf6k=")</f>
        <v>#REF!</v>
      </c>
      <c r="FO53" t="e">
        <f>AND(#REF!,"AAAAAHvbf6o=")</f>
        <v>#REF!</v>
      </c>
      <c r="FP53" t="e">
        <f>AND(#REF!,"AAAAAHvbf6s=")</f>
        <v>#REF!</v>
      </c>
      <c r="FQ53" t="e">
        <f>AND(#REF!,"AAAAAHvbf6w=")</f>
        <v>#REF!</v>
      </c>
      <c r="FR53" t="e">
        <f>AND(#REF!,"AAAAAHvbf60=")</f>
        <v>#REF!</v>
      </c>
      <c r="FS53" t="e">
        <f>AND(#REF!,"AAAAAHvbf64=")</f>
        <v>#REF!</v>
      </c>
      <c r="FT53" t="e">
        <f>AND(#REF!,"AAAAAHvbf68=")</f>
        <v>#REF!</v>
      </c>
      <c r="FU53" t="e">
        <f>IF(#REF!,"AAAAAHvbf7A=",0)</f>
        <v>#REF!</v>
      </c>
      <c r="FV53" t="e">
        <f>AND(#REF!,"AAAAAHvbf7E=")</f>
        <v>#REF!</v>
      </c>
      <c r="FW53" t="e">
        <f>AND(#REF!,"AAAAAHvbf7I=")</f>
        <v>#REF!</v>
      </c>
      <c r="FX53" t="e">
        <f>AND(#REF!,"AAAAAHvbf7M=")</f>
        <v>#REF!</v>
      </c>
      <c r="FY53" t="e">
        <f>AND(#REF!,"AAAAAHvbf7Q=")</f>
        <v>#REF!</v>
      </c>
      <c r="FZ53" t="e">
        <f>AND(#REF!,"AAAAAHvbf7U=")</f>
        <v>#REF!</v>
      </c>
      <c r="GA53" t="e">
        <f>AND(#REF!,"AAAAAHvbf7Y=")</f>
        <v>#REF!</v>
      </c>
      <c r="GB53" t="e">
        <f>AND(#REF!,"AAAAAHvbf7c=")</f>
        <v>#REF!</v>
      </c>
      <c r="GC53" t="e">
        <f>AND(#REF!,"AAAAAHvbf7g=")</f>
        <v>#REF!</v>
      </c>
      <c r="GD53" t="e">
        <f>AND(#REF!,"AAAAAHvbf7k=")</f>
        <v>#REF!</v>
      </c>
      <c r="GE53" t="e">
        <f>AND(#REF!,"AAAAAHvbf7o=")</f>
        <v>#REF!</v>
      </c>
      <c r="GF53" t="e">
        <f>AND(#REF!,"AAAAAHvbf7s=")</f>
        <v>#REF!</v>
      </c>
      <c r="GG53" t="e">
        <f>AND(#REF!,"AAAAAHvbf7w=")</f>
        <v>#REF!</v>
      </c>
      <c r="GH53" t="e">
        <f>AND(#REF!,"AAAAAHvbf70=")</f>
        <v>#REF!</v>
      </c>
      <c r="GI53" t="e">
        <f>AND(#REF!,"AAAAAHvbf74=")</f>
        <v>#REF!</v>
      </c>
      <c r="GJ53" t="e">
        <f>AND(#REF!,"AAAAAHvbf78=")</f>
        <v>#REF!</v>
      </c>
      <c r="GK53" t="e">
        <f>IF(#REF!,"AAAAAHvbf8A=",0)</f>
        <v>#REF!</v>
      </c>
      <c r="GL53" t="e">
        <f>AND(#REF!,"AAAAAHvbf8E=")</f>
        <v>#REF!</v>
      </c>
      <c r="GM53" t="e">
        <f>AND(#REF!,"AAAAAHvbf8I=")</f>
        <v>#REF!</v>
      </c>
      <c r="GN53" t="e">
        <f>AND(#REF!,"AAAAAHvbf8M=")</f>
        <v>#REF!</v>
      </c>
      <c r="GO53" t="e">
        <f>AND(#REF!,"AAAAAHvbf8Q=")</f>
        <v>#REF!</v>
      </c>
      <c r="GP53" t="e">
        <f>AND(#REF!,"AAAAAHvbf8U=")</f>
        <v>#REF!</v>
      </c>
      <c r="GQ53" t="e">
        <f>AND(#REF!,"AAAAAHvbf8Y=")</f>
        <v>#REF!</v>
      </c>
      <c r="GR53" t="e">
        <f>AND(#REF!,"AAAAAHvbf8c=")</f>
        <v>#REF!</v>
      </c>
      <c r="GS53" t="e">
        <f>AND(#REF!,"AAAAAHvbf8g=")</f>
        <v>#REF!</v>
      </c>
      <c r="GT53" t="e">
        <f>AND(#REF!,"AAAAAHvbf8k=")</f>
        <v>#REF!</v>
      </c>
      <c r="GU53" t="e">
        <f>AND(#REF!,"AAAAAHvbf8o=")</f>
        <v>#REF!</v>
      </c>
      <c r="GV53" t="e">
        <f>AND(#REF!,"AAAAAHvbf8s=")</f>
        <v>#REF!</v>
      </c>
      <c r="GW53" t="e">
        <f>AND(#REF!,"AAAAAHvbf8w=")</f>
        <v>#REF!</v>
      </c>
      <c r="GX53" t="e">
        <f>AND(#REF!,"AAAAAHvbf80=")</f>
        <v>#REF!</v>
      </c>
      <c r="GY53" t="e">
        <f>AND(#REF!,"AAAAAHvbf84=")</f>
        <v>#REF!</v>
      </c>
      <c r="GZ53" t="e">
        <f>AND(#REF!,"AAAAAHvbf88=")</f>
        <v>#REF!</v>
      </c>
      <c r="HA53" t="e">
        <f>IF(#REF!,"AAAAAHvbf9A=",0)</f>
        <v>#REF!</v>
      </c>
      <c r="HB53" t="e">
        <f>AND(#REF!,"AAAAAHvbf9E=")</f>
        <v>#REF!</v>
      </c>
      <c r="HC53" t="e">
        <f>AND(#REF!,"AAAAAHvbf9I=")</f>
        <v>#REF!</v>
      </c>
      <c r="HD53" t="e">
        <f>AND(#REF!,"AAAAAHvbf9M=")</f>
        <v>#REF!</v>
      </c>
      <c r="HE53" t="e">
        <f>AND(#REF!,"AAAAAHvbf9Q=")</f>
        <v>#REF!</v>
      </c>
      <c r="HF53" t="e">
        <f>AND(#REF!,"AAAAAHvbf9U=")</f>
        <v>#REF!</v>
      </c>
      <c r="HG53" t="e">
        <f>AND(#REF!,"AAAAAHvbf9Y=")</f>
        <v>#REF!</v>
      </c>
      <c r="HH53" t="e">
        <f>AND(#REF!,"AAAAAHvbf9c=")</f>
        <v>#REF!</v>
      </c>
      <c r="HI53" t="e">
        <f>AND(#REF!,"AAAAAHvbf9g=")</f>
        <v>#REF!</v>
      </c>
      <c r="HJ53" t="e">
        <f>AND(#REF!,"AAAAAHvbf9k=")</f>
        <v>#REF!</v>
      </c>
      <c r="HK53" t="e">
        <f>AND(#REF!,"AAAAAHvbf9o=")</f>
        <v>#REF!</v>
      </c>
      <c r="HL53" t="e">
        <f>AND(#REF!,"AAAAAHvbf9s=")</f>
        <v>#REF!</v>
      </c>
      <c r="HM53" t="e">
        <f>AND(#REF!,"AAAAAHvbf9w=")</f>
        <v>#REF!</v>
      </c>
      <c r="HN53" t="e">
        <f>AND(#REF!,"AAAAAHvbf90=")</f>
        <v>#REF!</v>
      </c>
      <c r="HO53" t="e">
        <f>AND(#REF!,"AAAAAHvbf94=")</f>
        <v>#REF!</v>
      </c>
      <c r="HP53" t="e">
        <f>AND(#REF!,"AAAAAHvbf98=")</f>
        <v>#REF!</v>
      </c>
      <c r="HQ53" t="e">
        <f>IF(#REF!,"AAAAAHvbf+A=",0)</f>
        <v>#REF!</v>
      </c>
      <c r="HR53" t="e">
        <f>AND(#REF!,"AAAAAHvbf+E=")</f>
        <v>#REF!</v>
      </c>
      <c r="HS53" t="e">
        <f>AND(#REF!,"AAAAAHvbf+I=")</f>
        <v>#REF!</v>
      </c>
      <c r="HT53" t="e">
        <f>AND(#REF!,"AAAAAHvbf+M=")</f>
        <v>#REF!</v>
      </c>
      <c r="HU53" t="e">
        <f>AND(#REF!,"AAAAAHvbf+Q=")</f>
        <v>#REF!</v>
      </c>
      <c r="HV53" t="e">
        <f>AND(#REF!,"AAAAAHvbf+U=")</f>
        <v>#REF!</v>
      </c>
      <c r="HW53" t="e">
        <f>AND(#REF!,"AAAAAHvbf+Y=")</f>
        <v>#REF!</v>
      </c>
      <c r="HX53" t="e">
        <f>AND(#REF!,"AAAAAHvbf+c=")</f>
        <v>#REF!</v>
      </c>
      <c r="HY53" t="e">
        <f>AND(#REF!,"AAAAAHvbf+g=")</f>
        <v>#REF!</v>
      </c>
      <c r="HZ53" t="e">
        <f>AND(#REF!,"AAAAAHvbf+k=")</f>
        <v>#REF!</v>
      </c>
      <c r="IA53" t="e">
        <f>AND(#REF!,"AAAAAHvbf+o=")</f>
        <v>#REF!</v>
      </c>
      <c r="IB53" t="e">
        <f>AND(#REF!,"AAAAAHvbf+s=")</f>
        <v>#REF!</v>
      </c>
      <c r="IC53" t="e">
        <f>AND(#REF!,"AAAAAHvbf+w=")</f>
        <v>#REF!</v>
      </c>
      <c r="ID53" t="e">
        <f>AND(#REF!,"AAAAAHvbf+0=")</f>
        <v>#REF!</v>
      </c>
      <c r="IE53" t="e">
        <f>AND(#REF!,"AAAAAHvbf+4=")</f>
        <v>#REF!</v>
      </c>
      <c r="IF53" t="e">
        <f>AND(#REF!,"AAAAAHvbf+8=")</f>
        <v>#REF!</v>
      </c>
      <c r="IG53" t="e">
        <f>IF(#REF!,"AAAAAHvbf/A=",0)</f>
        <v>#REF!</v>
      </c>
      <c r="IH53" t="e">
        <f>AND(#REF!,"AAAAAHvbf/E=")</f>
        <v>#REF!</v>
      </c>
      <c r="II53" t="e">
        <f>AND(#REF!,"AAAAAHvbf/I=")</f>
        <v>#REF!</v>
      </c>
      <c r="IJ53" t="e">
        <f>AND(#REF!,"AAAAAHvbf/M=")</f>
        <v>#REF!</v>
      </c>
      <c r="IK53" t="e">
        <f>AND(#REF!,"AAAAAHvbf/Q=")</f>
        <v>#REF!</v>
      </c>
      <c r="IL53" t="e">
        <f>AND(#REF!,"AAAAAHvbf/U=")</f>
        <v>#REF!</v>
      </c>
      <c r="IM53" t="e">
        <f>AND(#REF!,"AAAAAHvbf/Y=")</f>
        <v>#REF!</v>
      </c>
      <c r="IN53" t="e">
        <f>AND(#REF!,"AAAAAHvbf/c=")</f>
        <v>#REF!</v>
      </c>
      <c r="IO53" t="e">
        <f>AND(#REF!,"AAAAAHvbf/g=")</f>
        <v>#REF!</v>
      </c>
      <c r="IP53" t="e">
        <f>AND(#REF!,"AAAAAHvbf/k=")</f>
        <v>#REF!</v>
      </c>
      <c r="IQ53" t="e">
        <f>AND(#REF!,"AAAAAHvbf/o=")</f>
        <v>#REF!</v>
      </c>
      <c r="IR53" t="e">
        <f>AND(#REF!,"AAAAAHvbf/s=")</f>
        <v>#REF!</v>
      </c>
      <c r="IS53" t="e">
        <f>AND(#REF!,"AAAAAHvbf/w=")</f>
        <v>#REF!</v>
      </c>
      <c r="IT53" t="e">
        <f>AND(#REF!,"AAAAAHvbf/0=")</f>
        <v>#REF!</v>
      </c>
      <c r="IU53" t="e">
        <f>AND(#REF!,"AAAAAHvbf/4=")</f>
        <v>#REF!</v>
      </c>
      <c r="IV53" t="e">
        <f>AND(#REF!,"AAAAAHvbf/8=")</f>
        <v>#REF!</v>
      </c>
    </row>
    <row r="54" spans="1:256" x14ac:dyDescent="0.35">
      <c r="A54" t="e">
        <f>IF(#REF!,"AAAAAFfiVwA=",0)</f>
        <v>#REF!</v>
      </c>
      <c r="B54" t="e">
        <f>AND(#REF!,"AAAAAFfiVwE=")</f>
        <v>#REF!</v>
      </c>
      <c r="C54" t="e">
        <f>AND(#REF!,"AAAAAFfiVwI=")</f>
        <v>#REF!</v>
      </c>
      <c r="D54" t="e">
        <f>AND(#REF!,"AAAAAFfiVwM=")</f>
        <v>#REF!</v>
      </c>
      <c r="E54" t="e">
        <f>AND(#REF!,"AAAAAFfiVwQ=")</f>
        <v>#REF!</v>
      </c>
      <c r="F54" t="e">
        <f>AND(#REF!,"AAAAAFfiVwU=")</f>
        <v>#REF!</v>
      </c>
      <c r="G54" t="e">
        <f>AND(#REF!,"AAAAAFfiVwY=")</f>
        <v>#REF!</v>
      </c>
      <c r="H54" t="e">
        <f>AND(#REF!,"AAAAAFfiVwc=")</f>
        <v>#REF!</v>
      </c>
      <c r="I54" t="e">
        <f>AND(#REF!,"AAAAAFfiVwg=")</f>
        <v>#REF!</v>
      </c>
      <c r="J54" t="e">
        <f>AND(#REF!,"AAAAAFfiVwk=")</f>
        <v>#REF!</v>
      </c>
      <c r="K54" t="e">
        <f>AND(#REF!,"AAAAAFfiVwo=")</f>
        <v>#REF!</v>
      </c>
      <c r="L54" t="e">
        <f>AND(#REF!,"AAAAAFfiVws=")</f>
        <v>#REF!</v>
      </c>
      <c r="M54" t="e">
        <f>AND(#REF!,"AAAAAFfiVww=")</f>
        <v>#REF!</v>
      </c>
      <c r="N54" t="e">
        <f>AND(#REF!,"AAAAAFfiVw0=")</f>
        <v>#REF!</v>
      </c>
      <c r="O54" t="e">
        <f>AND(#REF!,"AAAAAFfiVw4=")</f>
        <v>#REF!</v>
      </c>
      <c r="P54" t="e">
        <f>AND(#REF!,"AAAAAFfiVw8=")</f>
        <v>#REF!</v>
      </c>
      <c r="Q54" t="e">
        <f>IF(#REF!,"AAAAAFfiVxA=",0)</f>
        <v>#REF!</v>
      </c>
      <c r="R54" t="e">
        <f>AND(#REF!,"AAAAAFfiVxE=")</f>
        <v>#REF!</v>
      </c>
      <c r="S54" t="e">
        <f>AND(#REF!,"AAAAAFfiVxI=")</f>
        <v>#REF!</v>
      </c>
      <c r="T54" t="e">
        <f>AND(#REF!,"AAAAAFfiVxM=")</f>
        <v>#REF!</v>
      </c>
      <c r="U54" t="e">
        <f>AND(#REF!,"AAAAAFfiVxQ=")</f>
        <v>#REF!</v>
      </c>
      <c r="V54" t="e">
        <f>AND(#REF!,"AAAAAFfiVxU=")</f>
        <v>#REF!</v>
      </c>
      <c r="W54" t="e">
        <f>AND(#REF!,"AAAAAFfiVxY=")</f>
        <v>#REF!</v>
      </c>
      <c r="X54" t="e">
        <f>AND(#REF!,"AAAAAFfiVxc=")</f>
        <v>#REF!</v>
      </c>
      <c r="Y54" t="e">
        <f>AND(#REF!,"AAAAAFfiVxg=")</f>
        <v>#REF!</v>
      </c>
      <c r="Z54" t="e">
        <f>AND(#REF!,"AAAAAFfiVxk=")</f>
        <v>#REF!</v>
      </c>
      <c r="AA54" t="e">
        <f>AND(#REF!,"AAAAAFfiVxo=")</f>
        <v>#REF!</v>
      </c>
      <c r="AB54" t="e">
        <f>AND(#REF!,"AAAAAFfiVxs=")</f>
        <v>#REF!</v>
      </c>
      <c r="AC54" t="e">
        <f>AND(#REF!,"AAAAAFfiVxw=")</f>
        <v>#REF!</v>
      </c>
      <c r="AD54" t="e">
        <f>AND(#REF!,"AAAAAFfiVx0=")</f>
        <v>#REF!</v>
      </c>
      <c r="AE54" t="e">
        <f>AND(#REF!,"AAAAAFfiVx4=")</f>
        <v>#REF!</v>
      </c>
      <c r="AF54" t="e">
        <f>AND(#REF!,"AAAAAFfiVx8=")</f>
        <v>#REF!</v>
      </c>
      <c r="AG54" t="e">
        <f>IF(#REF!,"AAAAAFfiVyA=",0)</f>
        <v>#REF!</v>
      </c>
      <c r="AH54" t="e">
        <f>AND(#REF!,"AAAAAFfiVyE=")</f>
        <v>#REF!</v>
      </c>
      <c r="AI54" t="e">
        <f>AND(#REF!,"AAAAAFfiVyI=")</f>
        <v>#REF!</v>
      </c>
      <c r="AJ54" t="e">
        <f>AND(#REF!,"AAAAAFfiVyM=")</f>
        <v>#REF!</v>
      </c>
      <c r="AK54" t="e">
        <f>AND(#REF!,"AAAAAFfiVyQ=")</f>
        <v>#REF!</v>
      </c>
      <c r="AL54" t="e">
        <f>AND(#REF!,"AAAAAFfiVyU=")</f>
        <v>#REF!</v>
      </c>
      <c r="AM54" t="e">
        <f>AND(#REF!,"AAAAAFfiVyY=")</f>
        <v>#REF!</v>
      </c>
      <c r="AN54" t="e">
        <f>AND(#REF!,"AAAAAFfiVyc=")</f>
        <v>#REF!</v>
      </c>
      <c r="AO54" t="e">
        <f>AND(#REF!,"AAAAAFfiVyg=")</f>
        <v>#REF!</v>
      </c>
      <c r="AP54" t="e">
        <f>AND(#REF!,"AAAAAFfiVyk=")</f>
        <v>#REF!</v>
      </c>
      <c r="AQ54" t="e">
        <f>AND(#REF!,"AAAAAFfiVyo=")</f>
        <v>#REF!</v>
      </c>
      <c r="AR54" t="e">
        <f>AND(#REF!,"AAAAAFfiVys=")</f>
        <v>#REF!</v>
      </c>
      <c r="AS54" t="e">
        <f>AND(#REF!,"AAAAAFfiVyw=")</f>
        <v>#REF!</v>
      </c>
      <c r="AT54" t="e">
        <f>AND(#REF!,"AAAAAFfiVy0=")</f>
        <v>#REF!</v>
      </c>
      <c r="AU54" t="e">
        <f>AND(#REF!,"AAAAAFfiVy4=")</f>
        <v>#REF!</v>
      </c>
      <c r="AV54" t="e">
        <f>AND(#REF!,"AAAAAFfiVy8=")</f>
        <v>#REF!</v>
      </c>
      <c r="AW54" t="e">
        <f>IF(#REF!,"AAAAAFfiVzA=",0)</f>
        <v>#REF!</v>
      </c>
      <c r="AX54" t="e">
        <f>AND(#REF!,"AAAAAFfiVzE=")</f>
        <v>#REF!</v>
      </c>
      <c r="AY54" t="e">
        <f>AND(#REF!,"AAAAAFfiVzI=")</f>
        <v>#REF!</v>
      </c>
      <c r="AZ54" t="e">
        <f>AND(#REF!,"AAAAAFfiVzM=")</f>
        <v>#REF!</v>
      </c>
      <c r="BA54" t="e">
        <f>AND(#REF!,"AAAAAFfiVzQ=")</f>
        <v>#REF!</v>
      </c>
      <c r="BB54" t="e">
        <f>AND(#REF!,"AAAAAFfiVzU=")</f>
        <v>#REF!</v>
      </c>
      <c r="BC54" t="e">
        <f>AND(#REF!,"AAAAAFfiVzY=")</f>
        <v>#REF!</v>
      </c>
      <c r="BD54" t="e">
        <f>AND(#REF!,"AAAAAFfiVzc=")</f>
        <v>#REF!</v>
      </c>
      <c r="BE54" t="e">
        <f>AND(#REF!,"AAAAAFfiVzg=")</f>
        <v>#REF!</v>
      </c>
      <c r="BF54" t="e">
        <f>AND(#REF!,"AAAAAFfiVzk=")</f>
        <v>#REF!</v>
      </c>
      <c r="BG54" t="e">
        <f>AND(#REF!,"AAAAAFfiVzo=")</f>
        <v>#REF!</v>
      </c>
      <c r="BH54" t="e">
        <f>AND(#REF!,"AAAAAFfiVzs=")</f>
        <v>#REF!</v>
      </c>
      <c r="BI54" t="e">
        <f>AND(#REF!,"AAAAAFfiVzw=")</f>
        <v>#REF!</v>
      </c>
      <c r="BJ54" t="e">
        <f>AND(#REF!,"AAAAAFfiVz0=")</f>
        <v>#REF!</v>
      </c>
      <c r="BK54" t="e">
        <f>AND(#REF!,"AAAAAFfiVz4=")</f>
        <v>#REF!</v>
      </c>
      <c r="BL54" t="e">
        <f>AND(#REF!,"AAAAAFfiVz8=")</f>
        <v>#REF!</v>
      </c>
      <c r="BM54" t="e">
        <f>IF(#REF!,"AAAAAFfiV0A=",0)</f>
        <v>#REF!</v>
      </c>
      <c r="BN54" t="e">
        <f>AND(#REF!,"AAAAAFfiV0E=")</f>
        <v>#REF!</v>
      </c>
      <c r="BO54" t="e">
        <f>AND(#REF!,"AAAAAFfiV0I=")</f>
        <v>#REF!</v>
      </c>
      <c r="BP54" t="e">
        <f>AND(#REF!,"AAAAAFfiV0M=")</f>
        <v>#REF!</v>
      </c>
      <c r="BQ54" t="e">
        <f>AND(#REF!,"AAAAAFfiV0Q=")</f>
        <v>#REF!</v>
      </c>
      <c r="BR54" t="e">
        <f>AND(#REF!,"AAAAAFfiV0U=")</f>
        <v>#REF!</v>
      </c>
      <c r="BS54" t="e">
        <f>AND(#REF!,"AAAAAFfiV0Y=")</f>
        <v>#REF!</v>
      </c>
      <c r="BT54" t="e">
        <f>AND(#REF!,"AAAAAFfiV0c=")</f>
        <v>#REF!</v>
      </c>
      <c r="BU54" t="e">
        <f>AND(#REF!,"AAAAAFfiV0g=")</f>
        <v>#REF!</v>
      </c>
      <c r="BV54" t="e">
        <f>AND(#REF!,"AAAAAFfiV0k=")</f>
        <v>#REF!</v>
      </c>
      <c r="BW54" t="e">
        <f>AND(#REF!,"AAAAAFfiV0o=")</f>
        <v>#REF!</v>
      </c>
      <c r="BX54" t="e">
        <f>AND(#REF!,"AAAAAFfiV0s=")</f>
        <v>#REF!</v>
      </c>
      <c r="BY54" t="e">
        <f>AND(#REF!,"AAAAAFfiV0w=")</f>
        <v>#REF!</v>
      </c>
      <c r="BZ54" t="e">
        <f>AND(#REF!,"AAAAAFfiV00=")</f>
        <v>#REF!</v>
      </c>
      <c r="CA54" t="e">
        <f>AND(#REF!,"AAAAAFfiV04=")</f>
        <v>#REF!</v>
      </c>
      <c r="CB54" t="e">
        <f>AND(#REF!,"AAAAAFfiV08=")</f>
        <v>#REF!</v>
      </c>
      <c r="CC54" t="e">
        <f>IF(#REF!,"AAAAAFfiV1A=",0)</f>
        <v>#REF!</v>
      </c>
      <c r="CD54" t="e">
        <f>AND(#REF!,"AAAAAFfiV1E=")</f>
        <v>#REF!</v>
      </c>
      <c r="CE54" t="e">
        <f>AND(#REF!,"AAAAAFfiV1I=")</f>
        <v>#REF!</v>
      </c>
      <c r="CF54" t="e">
        <f>AND(#REF!,"AAAAAFfiV1M=")</f>
        <v>#REF!</v>
      </c>
      <c r="CG54" t="e">
        <f>AND(#REF!,"AAAAAFfiV1Q=")</f>
        <v>#REF!</v>
      </c>
      <c r="CH54" t="e">
        <f>AND(#REF!,"AAAAAFfiV1U=")</f>
        <v>#REF!</v>
      </c>
      <c r="CI54" t="e">
        <f>AND(#REF!,"AAAAAFfiV1Y=")</f>
        <v>#REF!</v>
      </c>
      <c r="CJ54" t="e">
        <f>AND(#REF!,"AAAAAFfiV1c=")</f>
        <v>#REF!</v>
      </c>
      <c r="CK54" t="e">
        <f>AND(#REF!,"AAAAAFfiV1g=")</f>
        <v>#REF!</v>
      </c>
      <c r="CL54" t="e">
        <f>AND(#REF!,"AAAAAFfiV1k=")</f>
        <v>#REF!</v>
      </c>
      <c r="CM54" t="e">
        <f>AND(#REF!,"AAAAAFfiV1o=")</f>
        <v>#REF!</v>
      </c>
      <c r="CN54" t="e">
        <f>AND(#REF!,"AAAAAFfiV1s=")</f>
        <v>#REF!</v>
      </c>
      <c r="CO54" t="e">
        <f>AND(#REF!,"AAAAAFfiV1w=")</f>
        <v>#REF!</v>
      </c>
      <c r="CP54" t="e">
        <f>AND(#REF!,"AAAAAFfiV10=")</f>
        <v>#REF!</v>
      </c>
      <c r="CQ54" t="e">
        <f>AND(#REF!,"AAAAAFfiV14=")</f>
        <v>#REF!</v>
      </c>
      <c r="CR54" t="e">
        <f>AND(#REF!,"AAAAAFfiV18=")</f>
        <v>#REF!</v>
      </c>
      <c r="CS54" t="e">
        <f>IF(#REF!,"AAAAAFfiV2A=",0)</f>
        <v>#REF!</v>
      </c>
      <c r="CT54" t="e">
        <f>AND(#REF!,"AAAAAFfiV2E=")</f>
        <v>#REF!</v>
      </c>
      <c r="CU54" t="e">
        <f>AND(#REF!,"AAAAAFfiV2I=")</f>
        <v>#REF!</v>
      </c>
      <c r="CV54" t="e">
        <f>AND(#REF!,"AAAAAFfiV2M=")</f>
        <v>#REF!</v>
      </c>
      <c r="CW54" t="e">
        <f>AND(#REF!,"AAAAAFfiV2Q=")</f>
        <v>#REF!</v>
      </c>
      <c r="CX54" t="e">
        <f>AND(#REF!,"AAAAAFfiV2U=")</f>
        <v>#REF!</v>
      </c>
      <c r="CY54" t="e">
        <f>AND(#REF!,"AAAAAFfiV2Y=")</f>
        <v>#REF!</v>
      </c>
      <c r="CZ54" t="e">
        <f>AND(#REF!,"AAAAAFfiV2c=")</f>
        <v>#REF!</v>
      </c>
      <c r="DA54" t="e">
        <f>AND(#REF!,"AAAAAFfiV2g=")</f>
        <v>#REF!</v>
      </c>
      <c r="DB54" t="e">
        <f>AND(#REF!,"AAAAAFfiV2k=")</f>
        <v>#REF!</v>
      </c>
      <c r="DC54" t="e">
        <f>AND(#REF!,"AAAAAFfiV2o=")</f>
        <v>#REF!</v>
      </c>
      <c r="DD54" t="e">
        <f>AND(#REF!,"AAAAAFfiV2s=")</f>
        <v>#REF!</v>
      </c>
      <c r="DE54" t="e">
        <f>AND(#REF!,"AAAAAFfiV2w=")</f>
        <v>#REF!</v>
      </c>
      <c r="DF54" t="e">
        <f>AND(#REF!,"AAAAAFfiV20=")</f>
        <v>#REF!</v>
      </c>
      <c r="DG54" t="e">
        <f>AND(#REF!,"AAAAAFfiV24=")</f>
        <v>#REF!</v>
      </c>
      <c r="DH54" t="e">
        <f>AND(#REF!,"AAAAAFfiV28=")</f>
        <v>#REF!</v>
      </c>
      <c r="DI54" t="e">
        <f>IF(#REF!,"AAAAAFfiV3A=",0)</f>
        <v>#REF!</v>
      </c>
      <c r="DJ54" t="e">
        <f>AND(#REF!,"AAAAAFfiV3E=")</f>
        <v>#REF!</v>
      </c>
      <c r="DK54" t="e">
        <f>AND(#REF!,"AAAAAFfiV3I=")</f>
        <v>#REF!</v>
      </c>
      <c r="DL54" t="e">
        <f>AND(#REF!,"AAAAAFfiV3M=")</f>
        <v>#REF!</v>
      </c>
      <c r="DM54" t="e">
        <f>AND(#REF!,"AAAAAFfiV3Q=")</f>
        <v>#REF!</v>
      </c>
      <c r="DN54" t="e">
        <f>AND(#REF!,"AAAAAFfiV3U=")</f>
        <v>#REF!</v>
      </c>
      <c r="DO54" t="e">
        <f>AND(#REF!,"AAAAAFfiV3Y=")</f>
        <v>#REF!</v>
      </c>
      <c r="DP54" t="e">
        <f>AND(#REF!,"AAAAAFfiV3c=")</f>
        <v>#REF!</v>
      </c>
      <c r="DQ54" t="e">
        <f>AND(#REF!,"AAAAAFfiV3g=")</f>
        <v>#REF!</v>
      </c>
      <c r="DR54" t="e">
        <f>AND(#REF!,"AAAAAFfiV3k=")</f>
        <v>#REF!</v>
      </c>
      <c r="DS54" t="e">
        <f>AND(#REF!,"AAAAAFfiV3o=")</f>
        <v>#REF!</v>
      </c>
      <c r="DT54" t="e">
        <f>AND(#REF!,"AAAAAFfiV3s=")</f>
        <v>#REF!</v>
      </c>
      <c r="DU54" t="e">
        <f>AND(#REF!,"AAAAAFfiV3w=")</f>
        <v>#REF!</v>
      </c>
      <c r="DV54" t="e">
        <f>AND(#REF!,"AAAAAFfiV30=")</f>
        <v>#REF!</v>
      </c>
      <c r="DW54" t="e">
        <f>AND(#REF!,"AAAAAFfiV34=")</f>
        <v>#REF!</v>
      </c>
      <c r="DX54" t="e">
        <f>AND(#REF!,"AAAAAFfiV38=")</f>
        <v>#REF!</v>
      </c>
      <c r="DY54" t="e">
        <f>IF(#REF!,"AAAAAFfiV4A=",0)</f>
        <v>#REF!</v>
      </c>
      <c r="DZ54" t="e">
        <f>AND(#REF!,"AAAAAFfiV4E=")</f>
        <v>#REF!</v>
      </c>
      <c r="EA54" t="e">
        <f>AND(#REF!,"AAAAAFfiV4I=")</f>
        <v>#REF!</v>
      </c>
      <c r="EB54" t="e">
        <f>AND(#REF!,"AAAAAFfiV4M=")</f>
        <v>#REF!</v>
      </c>
      <c r="EC54" t="e">
        <f>AND(#REF!,"AAAAAFfiV4Q=")</f>
        <v>#REF!</v>
      </c>
      <c r="ED54" t="e">
        <f>AND(#REF!,"AAAAAFfiV4U=")</f>
        <v>#REF!</v>
      </c>
      <c r="EE54" t="e">
        <f>AND(#REF!,"AAAAAFfiV4Y=")</f>
        <v>#REF!</v>
      </c>
      <c r="EF54" t="e">
        <f>AND(#REF!,"AAAAAFfiV4c=")</f>
        <v>#REF!</v>
      </c>
      <c r="EG54" t="e">
        <f>AND(#REF!,"AAAAAFfiV4g=")</f>
        <v>#REF!</v>
      </c>
      <c r="EH54" t="e">
        <f>AND(#REF!,"AAAAAFfiV4k=")</f>
        <v>#REF!</v>
      </c>
      <c r="EI54" t="e">
        <f>AND(#REF!,"AAAAAFfiV4o=")</f>
        <v>#REF!</v>
      </c>
      <c r="EJ54" t="e">
        <f>AND(#REF!,"AAAAAFfiV4s=")</f>
        <v>#REF!</v>
      </c>
      <c r="EK54" t="e">
        <f>AND(#REF!,"AAAAAFfiV4w=")</f>
        <v>#REF!</v>
      </c>
      <c r="EL54" t="e">
        <f>AND(#REF!,"AAAAAFfiV40=")</f>
        <v>#REF!</v>
      </c>
      <c r="EM54" t="e">
        <f>AND(#REF!,"AAAAAFfiV44=")</f>
        <v>#REF!</v>
      </c>
      <c r="EN54" t="e">
        <f>AND(#REF!,"AAAAAFfiV48=")</f>
        <v>#REF!</v>
      </c>
      <c r="EO54" t="e">
        <f>IF(#REF!,"AAAAAFfiV5A=",0)</f>
        <v>#REF!</v>
      </c>
      <c r="EP54" t="e">
        <f>AND(#REF!,"AAAAAFfiV5E=")</f>
        <v>#REF!</v>
      </c>
      <c r="EQ54" t="e">
        <f>AND(#REF!,"AAAAAFfiV5I=")</f>
        <v>#REF!</v>
      </c>
      <c r="ER54" t="e">
        <f>AND(#REF!,"AAAAAFfiV5M=")</f>
        <v>#REF!</v>
      </c>
      <c r="ES54" t="e">
        <f>AND(#REF!,"AAAAAFfiV5Q=")</f>
        <v>#REF!</v>
      </c>
      <c r="ET54" t="e">
        <f>AND(#REF!,"AAAAAFfiV5U=")</f>
        <v>#REF!</v>
      </c>
      <c r="EU54" t="e">
        <f>AND(#REF!,"AAAAAFfiV5Y=")</f>
        <v>#REF!</v>
      </c>
      <c r="EV54" t="e">
        <f>AND(#REF!,"AAAAAFfiV5c=")</f>
        <v>#REF!</v>
      </c>
      <c r="EW54" t="e">
        <f>AND(#REF!,"AAAAAFfiV5g=")</f>
        <v>#REF!</v>
      </c>
      <c r="EX54" t="e">
        <f>AND(#REF!,"AAAAAFfiV5k=")</f>
        <v>#REF!</v>
      </c>
      <c r="EY54" t="e">
        <f>AND(#REF!,"AAAAAFfiV5o=")</f>
        <v>#REF!</v>
      </c>
      <c r="EZ54" t="e">
        <f>AND(#REF!,"AAAAAFfiV5s=")</f>
        <v>#REF!</v>
      </c>
      <c r="FA54" t="e">
        <f>AND(#REF!,"AAAAAFfiV5w=")</f>
        <v>#REF!</v>
      </c>
      <c r="FB54" t="e">
        <f>AND(#REF!,"AAAAAFfiV50=")</f>
        <v>#REF!</v>
      </c>
      <c r="FC54" t="e">
        <f>AND(#REF!,"AAAAAFfiV54=")</f>
        <v>#REF!</v>
      </c>
      <c r="FD54" t="e">
        <f>AND(#REF!,"AAAAAFfiV58=")</f>
        <v>#REF!</v>
      </c>
      <c r="FE54" t="e">
        <f>IF(#REF!,"AAAAAFfiV6A=",0)</f>
        <v>#REF!</v>
      </c>
      <c r="FF54" t="e">
        <f>AND(#REF!,"AAAAAFfiV6E=")</f>
        <v>#REF!</v>
      </c>
      <c r="FG54" t="e">
        <f>AND(#REF!,"AAAAAFfiV6I=")</f>
        <v>#REF!</v>
      </c>
      <c r="FH54" t="e">
        <f>AND(#REF!,"AAAAAFfiV6M=")</f>
        <v>#REF!</v>
      </c>
      <c r="FI54" t="e">
        <f>AND(#REF!,"AAAAAFfiV6Q=")</f>
        <v>#REF!</v>
      </c>
      <c r="FJ54" t="e">
        <f>AND(#REF!,"AAAAAFfiV6U=")</f>
        <v>#REF!</v>
      </c>
      <c r="FK54" t="e">
        <f>AND(#REF!,"AAAAAFfiV6Y=")</f>
        <v>#REF!</v>
      </c>
      <c r="FL54" t="e">
        <f>AND(#REF!,"AAAAAFfiV6c=")</f>
        <v>#REF!</v>
      </c>
      <c r="FM54" t="e">
        <f>AND(#REF!,"AAAAAFfiV6g=")</f>
        <v>#REF!</v>
      </c>
      <c r="FN54" t="e">
        <f>AND(#REF!,"AAAAAFfiV6k=")</f>
        <v>#REF!</v>
      </c>
      <c r="FO54" t="e">
        <f>AND(#REF!,"AAAAAFfiV6o=")</f>
        <v>#REF!</v>
      </c>
      <c r="FP54" t="e">
        <f>AND(#REF!,"AAAAAFfiV6s=")</f>
        <v>#REF!</v>
      </c>
      <c r="FQ54" t="e">
        <f>AND(#REF!,"AAAAAFfiV6w=")</f>
        <v>#REF!</v>
      </c>
      <c r="FR54" t="e">
        <f>AND(#REF!,"AAAAAFfiV60=")</f>
        <v>#REF!</v>
      </c>
      <c r="FS54" t="e">
        <f>AND(#REF!,"AAAAAFfiV64=")</f>
        <v>#REF!</v>
      </c>
      <c r="FT54" t="e">
        <f>AND(#REF!,"AAAAAFfiV68=")</f>
        <v>#REF!</v>
      </c>
      <c r="FU54" t="e">
        <f>IF(#REF!,"AAAAAFfiV7A=",0)</f>
        <v>#REF!</v>
      </c>
      <c r="FV54" t="e">
        <f>AND(#REF!,"AAAAAFfiV7E=")</f>
        <v>#REF!</v>
      </c>
      <c r="FW54" t="e">
        <f>AND(#REF!,"AAAAAFfiV7I=")</f>
        <v>#REF!</v>
      </c>
      <c r="FX54" t="e">
        <f>AND(#REF!,"AAAAAFfiV7M=")</f>
        <v>#REF!</v>
      </c>
      <c r="FY54" t="e">
        <f>AND(#REF!,"AAAAAFfiV7Q=")</f>
        <v>#REF!</v>
      </c>
      <c r="FZ54" t="e">
        <f>AND(#REF!,"AAAAAFfiV7U=")</f>
        <v>#REF!</v>
      </c>
      <c r="GA54" t="e">
        <f>AND(#REF!,"AAAAAFfiV7Y=")</f>
        <v>#REF!</v>
      </c>
      <c r="GB54" t="e">
        <f>AND(#REF!,"AAAAAFfiV7c=")</f>
        <v>#REF!</v>
      </c>
      <c r="GC54" t="e">
        <f>AND(#REF!,"AAAAAFfiV7g=")</f>
        <v>#REF!</v>
      </c>
      <c r="GD54" t="e">
        <f>AND(#REF!,"AAAAAFfiV7k=")</f>
        <v>#REF!</v>
      </c>
      <c r="GE54" t="e">
        <f>AND(#REF!,"AAAAAFfiV7o=")</f>
        <v>#REF!</v>
      </c>
      <c r="GF54" t="e">
        <f>AND(#REF!,"AAAAAFfiV7s=")</f>
        <v>#REF!</v>
      </c>
      <c r="GG54" t="e">
        <f>AND(#REF!,"AAAAAFfiV7w=")</f>
        <v>#REF!</v>
      </c>
      <c r="GH54" t="e">
        <f>AND(#REF!,"AAAAAFfiV70=")</f>
        <v>#REF!</v>
      </c>
      <c r="GI54" t="e">
        <f>AND(#REF!,"AAAAAFfiV74=")</f>
        <v>#REF!</v>
      </c>
      <c r="GJ54" t="e">
        <f>AND(#REF!,"AAAAAFfiV78=")</f>
        <v>#REF!</v>
      </c>
      <c r="GK54" t="e">
        <f>IF(#REF!,"AAAAAFfiV8A=",0)</f>
        <v>#REF!</v>
      </c>
      <c r="GL54" t="e">
        <f>AND(#REF!,"AAAAAFfiV8E=")</f>
        <v>#REF!</v>
      </c>
      <c r="GM54" t="e">
        <f>AND(#REF!,"AAAAAFfiV8I=")</f>
        <v>#REF!</v>
      </c>
      <c r="GN54" t="e">
        <f>AND(#REF!,"AAAAAFfiV8M=")</f>
        <v>#REF!</v>
      </c>
      <c r="GO54" t="e">
        <f>AND(#REF!,"AAAAAFfiV8Q=")</f>
        <v>#REF!</v>
      </c>
      <c r="GP54" t="e">
        <f>AND(#REF!,"AAAAAFfiV8U=")</f>
        <v>#REF!</v>
      </c>
      <c r="GQ54" t="e">
        <f>AND(#REF!,"AAAAAFfiV8Y=")</f>
        <v>#REF!</v>
      </c>
      <c r="GR54" t="e">
        <f>AND(#REF!,"AAAAAFfiV8c=")</f>
        <v>#REF!</v>
      </c>
      <c r="GS54" t="e">
        <f>AND(#REF!,"AAAAAFfiV8g=")</f>
        <v>#REF!</v>
      </c>
      <c r="GT54" t="e">
        <f>AND(#REF!,"AAAAAFfiV8k=")</f>
        <v>#REF!</v>
      </c>
      <c r="GU54" t="e">
        <f>AND(#REF!,"AAAAAFfiV8o=")</f>
        <v>#REF!</v>
      </c>
      <c r="GV54" t="e">
        <f>AND(#REF!,"AAAAAFfiV8s=")</f>
        <v>#REF!</v>
      </c>
      <c r="GW54" t="e">
        <f>AND(#REF!,"AAAAAFfiV8w=")</f>
        <v>#REF!</v>
      </c>
      <c r="GX54" t="e">
        <f>AND(#REF!,"AAAAAFfiV80=")</f>
        <v>#REF!</v>
      </c>
      <c r="GY54" t="e">
        <f>AND(#REF!,"AAAAAFfiV84=")</f>
        <v>#REF!</v>
      </c>
      <c r="GZ54" t="e">
        <f>AND(#REF!,"AAAAAFfiV88=")</f>
        <v>#REF!</v>
      </c>
      <c r="HA54" t="e">
        <f>IF(#REF!,"AAAAAFfiV9A=",0)</f>
        <v>#REF!</v>
      </c>
      <c r="HB54" t="e">
        <f>AND(#REF!,"AAAAAFfiV9E=")</f>
        <v>#REF!</v>
      </c>
      <c r="HC54" t="e">
        <f>AND(#REF!,"AAAAAFfiV9I=")</f>
        <v>#REF!</v>
      </c>
      <c r="HD54" t="e">
        <f>AND(#REF!,"AAAAAFfiV9M=")</f>
        <v>#REF!</v>
      </c>
      <c r="HE54" t="e">
        <f>AND(#REF!,"AAAAAFfiV9Q=")</f>
        <v>#REF!</v>
      </c>
      <c r="HF54" t="e">
        <f>AND(#REF!,"AAAAAFfiV9U=")</f>
        <v>#REF!</v>
      </c>
      <c r="HG54" t="e">
        <f>AND(#REF!,"AAAAAFfiV9Y=")</f>
        <v>#REF!</v>
      </c>
      <c r="HH54" t="e">
        <f>AND(#REF!,"AAAAAFfiV9c=")</f>
        <v>#REF!</v>
      </c>
      <c r="HI54" t="e">
        <f>AND(#REF!,"AAAAAFfiV9g=")</f>
        <v>#REF!</v>
      </c>
      <c r="HJ54" t="e">
        <f>AND(#REF!,"AAAAAFfiV9k=")</f>
        <v>#REF!</v>
      </c>
      <c r="HK54" t="e">
        <f>AND(#REF!,"AAAAAFfiV9o=")</f>
        <v>#REF!</v>
      </c>
      <c r="HL54" t="e">
        <f>AND(#REF!,"AAAAAFfiV9s=")</f>
        <v>#REF!</v>
      </c>
      <c r="HM54" t="e">
        <f>AND(#REF!,"AAAAAFfiV9w=")</f>
        <v>#REF!</v>
      </c>
      <c r="HN54" t="e">
        <f>AND(#REF!,"AAAAAFfiV90=")</f>
        <v>#REF!</v>
      </c>
      <c r="HO54" t="e">
        <f>AND(#REF!,"AAAAAFfiV94=")</f>
        <v>#REF!</v>
      </c>
      <c r="HP54" t="e">
        <f>AND(#REF!,"AAAAAFfiV98=")</f>
        <v>#REF!</v>
      </c>
      <c r="HQ54" t="e">
        <f>IF(#REF!,"AAAAAFfiV+A=",0)</f>
        <v>#REF!</v>
      </c>
      <c r="HR54" t="e">
        <f>AND(#REF!,"AAAAAFfiV+E=")</f>
        <v>#REF!</v>
      </c>
      <c r="HS54" t="e">
        <f>AND(#REF!,"AAAAAFfiV+I=")</f>
        <v>#REF!</v>
      </c>
      <c r="HT54" t="e">
        <f>AND(#REF!,"AAAAAFfiV+M=")</f>
        <v>#REF!</v>
      </c>
      <c r="HU54" t="e">
        <f>AND(#REF!,"AAAAAFfiV+Q=")</f>
        <v>#REF!</v>
      </c>
      <c r="HV54" t="e">
        <f>AND(#REF!,"AAAAAFfiV+U=")</f>
        <v>#REF!</v>
      </c>
      <c r="HW54" t="e">
        <f>AND(#REF!,"AAAAAFfiV+Y=")</f>
        <v>#REF!</v>
      </c>
      <c r="HX54" t="e">
        <f>AND(#REF!,"AAAAAFfiV+c=")</f>
        <v>#REF!</v>
      </c>
      <c r="HY54" t="e">
        <f>AND(#REF!,"AAAAAFfiV+g=")</f>
        <v>#REF!</v>
      </c>
      <c r="HZ54" t="e">
        <f>AND(#REF!,"AAAAAFfiV+k=")</f>
        <v>#REF!</v>
      </c>
      <c r="IA54" t="e">
        <f>AND(#REF!,"AAAAAFfiV+o=")</f>
        <v>#REF!</v>
      </c>
      <c r="IB54" t="e">
        <f>AND(#REF!,"AAAAAFfiV+s=")</f>
        <v>#REF!</v>
      </c>
      <c r="IC54" t="e">
        <f>AND(#REF!,"AAAAAFfiV+w=")</f>
        <v>#REF!</v>
      </c>
      <c r="ID54" t="e">
        <f>AND(#REF!,"AAAAAFfiV+0=")</f>
        <v>#REF!</v>
      </c>
      <c r="IE54" t="e">
        <f>AND(#REF!,"AAAAAFfiV+4=")</f>
        <v>#REF!</v>
      </c>
      <c r="IF54" t="e">
        <f>AND(#REF!,"AAAAAFfiV+8=")</f>
        <v>#REF!</v>
      </c>
      <c r="IG54" t="e">
        <f>IF(#REF!,"AAAAAFfiV/A=",0)</f>
        <v>#REF!</v>
      </c>
      <c r="IH54" t="e">
        <f>AND(#REF!,"AAAAAFfiV/E=")</f>
        <v>#REF!</v>
      </c>
      <c r="II54" t="e">
        <f>AND(#REF!,"AAAAAFfiV/I=")</f>
        <v>#REF!</v>
      </c>
      <c r="IJ54" t="e">
        <f>AND(#REF!,"AAAAAFfiV/M=")</f>
        <v>#REF!</v>
      </c>
      <c r="IK54" t="e">
        <f>AND(#REF!,"AAAAAFfiV/Q=")</f>
        <v>#REF!</v>
      </c>
      <c r="IL54" t="e">
        <f>AND(#REF!,"AAAAAFfiV/U=")</f>
        <v>#REF!</v>
      </c>
      <c r="IM54" t="e">
        <f>AND(#REF!,"AAAAAFfiV/Y=")</f>
        <v>#REF!</v>
      </c>
      <c r="IN54" t="e">
        <f>AND(#REF!,"AAAAAFfiV/c=")</f>
        <v>#REF!</v>
      </c>
      <c r="IO54" t="e">
        <f>AND(#REF!,"AAAAAFfiV/g=")</f>
        <v>#REF!</v>
      </c>
      <c r="IP54" t="e">
        <f>AND(#REF!,"AAAAAFfiV/k=")</f>
        <v>#REF!</v>
      </c>
      <c r="IQ54" t="e">
        <f>AND(#REF!,"AAAAAFfiV/o=")</f>
        <v>#REF!</v>
      </c>
      <c r="IR54" t="e">
        <f>AND(#REF!,"AAAAAFfiV/s=")</f>
        <v>#REF!</v>
      </c>
      <c r="IS54" t="e">
        <f>AND(#REF!,"AAAAAFfiV/w=")</f>
        <v>#REF!</v>
      </c>
      <c r="IT54" t="e">
        <f>AND(#REF!,"AAAAAFfiV/0=")</f>
        <v>#REF!</v>
      </c>
      <c r="IU54" t="e">
        <f>AND(#REF!,"AAAAAFfiV/4=")</f>
        <v>#REF!</v>
      </c>
      <c r="IV54" t="e">
        <f>AND(#REF!,"AAAAAFfiV/8=")</f>
        <v>#REF!</v>
      </c>
    </row>
    <row r="55" spans="1:256" x14ac:dyDescent="0.35">
      <c r="A55" t="e">
        <f>IF(#REF!,"AAAAAH6efwA=",0)</f>
        <v>#REF!</v>
      </c>
      <c r="B55" t="e">
        <f>IF(#REF!,"AAAAAH6efwE=",0)</f>
        <v>#REF!</v>
      </c>
      <c r="C55" t="e">
        <f>IF(#REF!,"AAAAAH6efwI=",0)</f>
        <v>#REF!</v>
      </c>
      <c r="D55" t="e">
        <f>IF(#REF!,"AAAAAH6efwM=",0)</f>
        <v>#REF!</v>
      </c>
      <c r="E55" t="e">
        <f>IF(#REF!,"AAAAAH6efwQ=",0)</f>
        <v>#REF!</v>
      </c>
      <c r="F55" t="e">
        <f>IF(#REF!,"AAAAAH6efwU=",0)</f>
        <v>#REF!</v>
      </c>
      <c r="G55" t="e">
        <f>IF(#REF!,"AAAAAH6efwY=",0)</f>
        <v>#REF!</v>
      </c>
      <c r="H55" t="e">
        <f>IF(#REF!,"AAAAAH6efwc=",0)</f>
        <v>#REF!</v>
      </c>
      <c r="I55" t="e">
        <f>IF(#REF!,"AAAAAH6efwg=",0)</f>
        <v>#REF!</v>
      </c>
      <c r="J55" t="e">
        <f>IF(#REF!,"AAAAAH6efwk=",0)</f>
        <v>#REF!</v>
      </c>
      <c r="K55" t="e">
        <f>IF(#REF!,"AAAAAH6efwo=",0)</f>
        <v>#REF!</v>
      </c>
      <c r="L55" t="e">
        <f>IF(#REF!,"AAAAAH6efws=",0)</f>
        <v>#REF!</v>
      </c>
      <c r="M55" t="e">
        <f>IF(#REF!,"AAAAAH6efww=",0)</f>
        <v>#REF!</v>
      </c>
      <c r="N55" t="e">
        <f>IF(#REF!,"AAAAAH6efw0=",0)</f>
        <v>#REF!</v>
      </c>
      <c r="O55" t="e">
        <f>IF(#REF!,"AAAAAH6efw4=",0)</f>
        <v>#REF!</v>
      </c>
    </row>
    <row r="56" spans="1:256" x14ac:dyDescent="0.35">
      <c r="A56" t="e">
        <f>IF("N",Excel_BuiltIn__FilterDatabase,"AAAAADDPdgA=")</f>
        <v>#VALUE!</v>
      </c>
    </row>
    <row r="57" spans="1:256" x14ac:dyDescent="0.35">
      <c r="A57" t="e">
        <f>AND(Teoria!#REF!,"AAAAAGvdrgA=")</f>
        <v>#REF!</v>
      </c>
      <c r="B57" t="e">
        <f>AND(Teoria!#REF!,"AAAAAGvdrgE=")</f>
        <v>#REF!</v>
      </c>
      <c r="C57" t="e">
        <f>AND(Teoria!#REF!,"AAAAAGvdrgI=")</f>
        <v>#REF!</v>
      </c>
      <c r="D57" t="e">
        <f>AND(Teoria!#REF!,"AAAAAGvdrgM=")</f>
        <v>#REF!</v>
      </c>
      <c r="E57" t="e">
        <f>AND(Teoria!#REF!,"AAAAAGvdrgQ=")</f>
        <v>#REF!</v>
      </c>
      <c r="F57" t="e">
        <f>AND(Teoria!#REF!,"AAAAAGvdrgU=")</f>
        <v>#REF!</v>
      </c>
      <c r="G57" t="e">
        <f>AND(Teoria!#REF!,"AAAAAGvdrgY=")</f>
        <v>#REF!</v>
      </c>
      <c r="H57" t="e">
        <f>AND(Teoria!#REF!,"AAAAAGvdrgc=")</f>
        <v>#REF!</v>
      </c>
      <c r="I57" t="e">
        <f>AND(Teoria!#REF!,"AAAAAGvdrgg=")</f>
        <v>#REF!</v>
      </c>
      <c r="J57" t="e">
        <f>AND(Teoria!#REF!,"AAAAAGvdrgk=")</f>
        <v>#REF!</v>
      </c>
      <c r="K57" t="e">
        <f>AND(Teoria!#REF!,"AAAAAGvdrgo=")</f>
        <v>#REF!</v>
      </c>
      <c r="L57" t="e">
        <f>AND(Teoria!#REF!,"AAAAAGvdrgs=")</f>
        <v>#REF!</v>
      </c>
      <c r="M57" t="e">
        <f>AND(Teoria!#REF!,"AAAAAGvdrgw=")</f>
        <v>#REF!</v>
      </c>
      <c r="N57" t="e">
        <f>AND(Teoria!#REF!,"AAAAAGvdrg0=")</f>
        <v>#REF!</v>
      </c>
      <c r="O57" t="e">
        <f>AND(Teoria!#REF!,"AAAAAGvdrg4=")</f>
        <v>#REF!</v>
      </c>
      <c r="P57" t="e">
        <f>AND(Teoria!#REF!,"AAAAAGvdrg8=")</f>
        <v>#REF!</v>
      </c>
      <c r="Q57" t="e">
        <f>AND(Teoria!#REF!,"AAAAAGvdrhA=")</f>
        <v>#REF!</v>
      </c>
      <c r="R57" t="e">
        <f>AND(Teoria!#REF!,"AAAAAGvdrhE=")</f>
        <v>#REF!</v>
      </c>
      <c r="S57" t="e">
        <f>AND(Teoria!#REF!,"AAAAAGvdrhI=")</f>
        <v>#REF!</v>
      </c>
      <c r="T57" t="e">
        <f>AND(Teoria!#REF!,"AAAAAGvdrhM=")</f>
        <v>#REF!</v>
      </c>
      <c r="U57" t="e">
        <f>AND(Teoria!#REF!,"AAAAAGvdrhQ=")</f>
        <v>#REF!</v>
      </c>
      <c r="V57" t="e">
        <f>AND(Teoria!#REF!,"AAAAAGvdrhU=")</f>
        <v>#REF!</v>
      </c>
      <c r="W57" t="e">
        <f>AND(Teoria!#REF!,"AAAAAGvdrhY=")</f>
        <v>#REF!</v>
      </c>
      <c r="X57" t="e">
        <f>AND(Teoria!#REF!,"AAAAAGvdrhc=")</f>
        <v>#REF!</v>
      </c>
      <c r="Y57" t="e">
        <f>AND(Teoria!#REF!,"AAAAAGvdrhg=")</f>
        <v>#REF!</v>
      </c>
      <c r="Z57" t="e">
        <f>AND(Teoria!#REF!,"AAAAAGvdrhk=")</f>
        <v>#REF!</v>
      </c>
      <c r="AA57" t="e">
        <f>AND(Teoria!#REF!,"AAAAAGvdrho=")</f>
        <v>#REF!</v>
      </c>
      <c r="AB57" t="e">
        <f>AND(Teoria!#REF!,"AAAAAGvdrhs=")</f>
        <v>#REF!</v>
      </c>
      <c r="AC57" t="e">
        <f>AND(Teoria!#REF!,"AAAAAGvdrhw=")</f>
        <v>#REF!</v>
      </c>
      <c r="AD57" t="e">
        <f>AND(Teoria!#REF!,"AAAAAGvdrh0=")</f>
        <v>#REF!</v>
      </c>
      <c r="AE57" t="e">
        <f>AND(Teoria!#REF!,"AAAAAGvdrh4=")</f>
        <v>#REF!</v>
      </c>
      <c r="AF57" t="e">
        <f>AND(Teoria!#REF!,"AAAAAGvdrh8=")</f>
        <v>#REF!</v>
      </c>
      <c r="AG57" t="e">
        <f>IF(Teoria!#REF!,"AAAAAGvdriA=",0)</f>
        <v>#REF!</v>
      </c>
    </row>
    <row r="58" spans="1:256" x14ac:dyDescent="0.35">
      <c r="A58" t="e">
        <f>IF(#REF!,"AAAAAGnXXAA=",0)</f>
        <v>#REF!</v>
      </c>
      <c r="B58" t="e">
        <f>AND(#REF!,"AAAAAGnXXAE=")</f>
        <v>#REF!</v>
      </c>
      <c r="C58" t="e">
        <f>AND(#REF!,"AAAAAGnXXAI=")</f>
        <v>#REF!</v>
      </c>
      <c r="D58" t="e">
        <f>AND(#REF!,"AAAAAGnXXAM=")</f>
        <v>#REF!</v>
      </c>
      <c r="E58" t="e">
        <f>AND(#REF!,"AAAAAGnXXAQ=")</f>
        <v>#REF!</v>
      </c>
      <c r="F58" t="e">
        <f>AND(#REF!,"AAAAAGnXXAU=")</f>
        <v>#REF!</v>
      </c>
      <c r="G58" t="e">
        <f>AND(#REF!,"AAAAAGnXXAY=")</f>
        <v>#REF!</v>
      </c>
      <c r="H58" t="e">
        <f>AND(#REF!,"AAAAAGnXXAc=")</f>
        <v>#REF!</v>
      </c>
      <c r="I58" t="e">
        <f>AND(#REF!,"AAAAAGnXXAg=")</f>
        <v>#REF!</v>
      </c>
      <c r="J58" t="e">
        <f>IF(#REF!,"AAAAAGnXXAk=",0)</f>
        <v>#REF!</v>
      </c>
      <c r="K58" t="e">
        <f>AND(#REF!,"AAAAAGnXXAo=")</f>
        <v>#REF!</v>
      </c>
      <c r="L58" t="e">
        <f>AND(#REF!,"AAAAAGnXXAs=")</f>
        <v>#REF!</v>
      </c>
      <c r="M58" t="e">
        <f>AND(#REF!,"AAAAAGnXXAw=")</f>
        <v>#REF!</v>
      </c>
      <c r="N58" t="e">
        <f>AND(#REF!,"AAAAAGnXXA0=")</f>
        <v>#REF!</v>
      </c>
      <c r="O58" t="e">
        <f>AND(#REF!,"AAAAAGnXXA4=")</f>
        <v>#REF!</v>
      </c>
      <c r="P58" t="e">
        <f>AND(#REF!,"AAAAAGnXXA8=")</f>
        <v>#REF!</v>
      </c>
      <c r="Q58" t="e">
        <f>AND(#REF!,"AAAAAGnXXBA=")</f>
        <v>#REF!</v>
      </c>
      <c r="R58" t="e">
        <f>AND(#REF!,"AAAAAGnXXBE=")</f>
        <v>#REF!</v>
      </c>
      <c r="S58" t="e">
        <f>IF(#REF!,"AAAAAGnXXBI=",0)</f>
        <v>#REF!</v>
      </c>
      <c r="T58" t="e">
        <f>AND(#REF!,"AAAAAGnXXBM=")</f>
        <v>#REF!</v>
      </c>
      <c r="U58" t="e">
        <f>AND(#REF!,"AAAAAGnXXBQ=")</f>
        <v>#REF!</v>
      </c>
      <c r="V58" t="e">
        <f>AND(#REF!,"AAAAAGnXXBU=")</f>
        <v>#REF!</v>
      </c>
      <c r="W58" t="e">
        <f>AND(#REF!,"AAAAAGnXXBY=")</f>
        <v>#REF!</v>
      </c>
      <c r="X58" t="e">
        <f>AND(#REF!,"AAAAAGnXXBc=")</f>
        <v>#REF!</v>
      </c>
      <c r="Y58" t="e">
        <f>AND(#REF!,"AAAAAGnXXBg=")</f>
        <v>#REF!</v>
      </c>
      <c r="Z58" t="e">
        <f>AND(#REF!,"AAAAAGnXXBk=")</f>
        <v>#REF!</v>
      </c>
      <c r="AA58" t="e">
        <f>AND(#REF!,"AAAAAGnXXBo=")</f>
        <v>#REF!</v>
      </c>
      <c r="AB58" t="e">
        <f>IF(#REF!,"AAAAAGnXXBs=",0)</f>
        <v>#REF!</v>
      </c>
      <c r="AC58" t="e">
        <f>AND(#REF!,"AAAAAGnXXBw=")</f>
        <v>#REF!</v>
      </c>
      <c r="AD58" t="e">
        <f>AND(#REF!,"AAAAAGnXXB0=")</f>
        <v>#REF!</v>
      </c>
      <c r="AE58" t="e">
        <f>AND(#REF!,"AAAAAGnXXB4=")</f>
        <v>#REF!</v>
      </c>
      <c r="AF58" t="e">
        <f>AND(#REF!,"AAAAAGnXXB8=")</f>
        <v>#REF!</v>
      </c>
      <c r="AG58" t="e">
        <f>AND(#REF!,"AAAAAGnXXCA=")</f>
        <v>#REF!</v>
      </c>
      <c r="AH58" t="e">
        <f>AND(#REF!,"AAAAAGnXXCE=")</f>
        <v>#REF!</v>
      </c>
      <c r="AI58" t="e">
        <f>AND(#REF!,"AAAAAGnXXCI=")</f>
        <v>#REF!</v>
      </c>
      <c r="AJ58" t="e">
        <f>AND(#REF!,"AAAAAGnXXCM=")</f>
        <v>#REF!</v>
      </c>
      <c r="AK58" t="e">
        <f>IF(#REF!,"AAAAAGnXXCQ=",0)</f>
        <v>#REF!</v>
      </c>
      <c r="AL58" t="e">
        <f>AND(#REF!,"AAAAAGnXXCU=")</f>
        <v>#REF!</v>
      </c>
      <c r="AM58" t="e">
        <f>AND(#REF!,"AAAAAGnXXCY=")</f>
        <v>#REF!</v>
      </c>
      <c r="AN58" t="e">
        <f>AND(#REF!,"AAAAAGnXXCc=")</f>
        <v>#REF!</v>
      </c>
      <c r="AO58" t="e">
        <f>AND(#REF!,"AAAAAGnXXCg=")</f>
        <v>#REF!</v>
      </c>
      <c r="AP58" t="e">
        <f>AND(#REF!,"AAAAAGnXXCk=")</f>
        <v>#REF!</v>
      </c>
      <c r="AQ58" t="e">
        <f>AND(#REF!,"AAAAAGnXXCo=")</f>
        <v>#REF!</v>
      </c>
      <c r="AR58" t="e">
        <f>AND(#REF!,"AAAAAGnXXCs=")</f>
        <v>#REF!</v>
      </c>
      <c r="AS58" t="e">
        <f>AND(#REF!,"AAAAAGnXXCw=")</f>
        <v>#REF!</v>
      </c>
      <c r="AT58" t="e">
        <f>IF(#REF!,"AAAAAGnXXC0=",0)</f>
        <v>#REF!</v>
      </c>
      <c r="AU58" t="e">
        <f>AND(#REF!,"AAAAAGnXXC4=")</f>
        <v>#REF!</v>
      </c>
      <c r="AV58" t="e">
        <f>AND(#REF!,"AAAAAGnXXC8=")</f>
        <v>#REF!</v>
      </c>
      <c r="AW58" t="e">
        <f>AND(#REF!,"AAAAAGnXXDA=")</f>
        <v>#REF!</v>
      </c>
      <c r="AX58" t="e">
        <f>AND(#REF!,"AAAAAGnXXDE=")</f>
        <v>#REF!</v>
      </c>
      <c r="AY58" t="e">
        <f>AND(#REF!,"AAAAAGnXXDI=")</f>
        <v>#REF!</v>
      </c>
      <c r="AZ58" t="e">
        <f>AND(#REF!,"AAAAAGnXXDM=")</f>
        <v>#REF!</v>
      </c>
      <c r="BA58" t="e">
        <f>AND(#REF!,"AAAAAGnXXDQ=")</f>
        <v>#REF!</v>
      </c>
      <c r="BB58" t="e">
        <f>AND(#REF!,"AAAAAGnXXDU=")</f>
        <v>#REF!</v>
      </c>
      <c r="BC58" t="e">
        <f>IF(#REF!,"AAAAAGnXXDY=",0)</f>
        <v>#REF!</v>
      </c>
      <c r="BD58" t="e">
        <f>AND(#REF!,"AAAAAGnXXDc=")</f>
        <v>#REF!</v>
      </c>
      <c r="BE58" t="e">
        <f>AND(#REF!,"AAAAAGnXXDg=")</f>
        <v>#REF!</v>
      </c>
      <c r="BF58" t="e">
        <f>AND(#REF!,"AAAAAGnXXDk=")</f>
        <v>#REF!</v>
      </c>
      <c r="BG58" t="e">
        <f>AND(#REF!,"AAAAAGnXXDo=")</f>
        <v>#REF!</v>
      </c>
      <c r="BH58" t="e">
        <f>AND(#REF!,"AAAAAGnXXDs=")</f>
        <v>#REF!</v>
      </c>
      <c r="BI58" t="e">
        <f>AND(#REF!,"AAAAAGnXXDw=")</f>
        <v>#REF!</v>
      </c>
      <c r="BJ58" t="e">
        <f>AND(#REF!,"AAAAAGnXXD0=")</f>
        <v>#REF!</v>
      </c>
      <c r="BK58" t="e">
        <f>AND(#REF!,"AAAAAGnXXD4=")</f>
        <v>#REF!</v>
      </c>
      <c r="BL58" t="e">
        <f>IF(#REF!,"AAAAAGnXXD8=",0)</f>
        <v>#REF!</v>
      </c>
      <c r="BM58" t="e">
        <f>AND(#REF!,"AAAAAGnXXEA=")</f>
        <v>#REF!</v>
      </c>
      <c r="BN58" t="e">
        <f>AND(#REF!,"AAAAAGnXXEE=")</f>
        <v>#REF!</v>
      </c>
      <c r="BO58" t="e">
        <f>AND(#REF!,"AAAAAGnXXEI=")</f>
        <v>#REF!</v>
      </c>
      <c r="BP58" t="e">
        <f>AND(#REF!,"AAAAAGnXXEM=")</f>
        <v>#REF!</v>
      </c>
      <c r="BQ58" t="e">
        <f>AND(#REF!,"AAAAAGnXXEQ=")</f>
        <v>#REF!</v>
      </c>
      <c r="BR58" t="e">
        <f>AND(#REF!,"AAAAAGnXXEU=")</f>
        <v>#REF!</v>
      </c>
      <c r="BS58" t="e">
        <f>AND(#REF!,"AAAAAGnXXEY=")</f>
        <v>#REF!</v>
      </c>
      <c r="BT58" t="e">
        <f>AND(#REF!,"AAAAAGnXXEc=")</f>
        <v>#REF!</v>
      </c>
      <c r="BU58" t="e">
        <f>IF(#REF!,"AAAAAGnXXEg=",0)</f>
        <v>#REF!</v>
      </c>
      <c r="BV58" t="e">
        <f>AND(#REF!,"AAAAAGnXXEk=")</f>
        <v>#REF!</v>
      </c>
      <c r="BW58" t="e">
        <f>AND(#REF!,"AAAAAGnXXEo=")</f>
        <v>#REF!</v>
      </c>
      <c r="BX58" t="e">
        <f>AND(#REF!,"AAAAAGnXXEs=")</f>
        <v>#REF!</v>
      </c>
      <c r="BY58" t="e">
        <f>AND(#REF!,"AAAAAGnXXEw=")</f>
        <v>#REF!</v>
      </c>
      <c r="BZ58" t="e">
        <f>AND(#REF!,"AAAAAGnXXE0=")</f>
        <v>#REF!</v>
      </c>
      <c r="CA58" t="e">
        <f>AND(#REF!,"AAAAAGnXXE4=")</f>
        <v>#REF!</v>
      </c>
      <c r="CB58" t="e">
        <f>AND(#REF!,"AAAAAGnXXE8=")</f>
        <v>#REF!</v>
      </c>
      <c r="CC58" t="e">
        <f>AND(#REF!,"AAAAAGnXXFA=")</f>
        <v>#REF!</v>
      </c>
      <c r="CD58" t="e">
        <f>IF(#REF!,"AAAAAGnXXFE=",0)</f>
        <v>#REF!</v>
      </c>
      <c r="CE58" t="e">
        <f>AND(#REF!,"AAAAAGnXXFI=")</f>
        <v>#REF!</v>
      </c>
      <c r="CF58" t="e">
        <f>AND(#REF!,"AAAAAGnXXFM=")</f>
        <v>#REF!</v>
      </c>
      <c r="CG58" t="e">
        <f>AND(#REF!,"AAAAAGnXXFQ=")</f>
        <v>#REF!</v>
      </c>
      <c r="CH58" t="e">
        <f>AND(#REF!,"AAAAAGnXXFU=")</f>
        <v>#REF!</v>
      </c>
      <c r="CI58" t="e">
        <f>AND(#REF!,"AAAAAGnXXFY=")</f>
        <v>#REF!</v>
      </c>
      <c r="CJ58" t="e">
        <f>AND(#REF!,"AAAAAGnXXFc=")</f>
        <v>#REF!</v>
      </c>
      <c r="CK58" t="e">
        <f>AND(#REF!,"AAAAAGnXXFg=")</f>
        <v>#REF!</v>
      </c>
      <c r="CL58" t="e">
        <f>AND(#REF!,"AAAAAGnXXFk=")</f>
        <v>#REF!</v>
      </c>
      <c r="CM58" t="e">
        <f>IF(#REF!,"AAAAAGnXXFo=",0)</f>
        <v>#REF!</v>
      </c>
      <c r="CN58" t="e">
        <f>AND(#REF!,"AAAAAGnXXFs=")</f>
        <v>#REF!</v>
      </c>
      <c r="CO58" t="e">
        <f>AND(#REF!,"AAAAAGnXXFw=")</f>
        <v>#REF!</v>
      </c>
      <c r="CP58" t="e">
        <f>AND(#REF!,"AAAAAGnXXF0=")</f>
        <v>#REF!</v>
      </c>
      <c r="CQ58" t="e">
        <f>AND(#REF!,"AAAAAGnXXF4=")</f>
        <v>#REF!</v>
      </c>
      <c r="CR58" t="e">
        <f>AND(#REF!,"AAAAAGnXXF8=")</f>
        <v>#REF!</v>
      </c>
      <c r="CS58" t="e">
        <f>AND(#REF!,"AAAAAGnXXGA=")</f>
        <v>#REF!</v>
      </c>
      <c r="CT58" t="e">
        <f>AND(#REF!,"AAAAAGnXXGE=")</f>
        <v>#REF!</v>
      </c>
      <c r="CU58" t="e">
        <f>AND(#REF!,"AAAAAGnXXGI=")</f>
        <v>#REF!</v>
      </c>
      <c r="CV58" t="e">
        <f>IF(#REF!,"AAAAAGnXXGM=",0)</f>
        <v>#REF!</v>
      </c>
      <c r="CW58" t="e">
        <f>AND(#REF!,"AAAAAGnXXGQ=")</f>
        <v>#REF!</v>
      </c>
      <c r="CX58" t="e">
        <f>AND(#REF!,"AAAAAGnXXGU=")</f>
        <v>#REF!</v>
      </c>
      <c r="CY58" t="e">
        <f>AND(#REF!,"AAAAAGnXXGY=")</f>
        <v>#REF!</v>
      </c>
      <c r="CZ58" t="e">
        <f>AND(#REF!,"AAAAAGnXXGc=")</f>
        <v>#REF!</v>
      </c>
      <c r="DA58" t="e">
        <f>AND(#REF!,"AAAAAGnXXGg=")</f>
        <v>#REF!</v>
      </c>
      <c r="DB58" t="e">
        <f>AND(#REF!,"AAAAAGnXXGk=")</f>
        <v>#REF!</v>
      </c>
      <c r="DC58" t="e">
        <f>AND(#REF!,"AAAAAGnXXGo=")</f>
        <v>#REF!</v>
      </c>
      <c r="DD58" t="e">
        <f>AND(#REF!,"AAAAAGnXXGs=")</f>
        <v>#REF!</v>
      </c>
      <c r="DE58" t="e">
        <f>IF(#REF!,"AAAAAGnXXGw=",0)</f>
        <v>#REF!</v>
      </c>
      <c r="DF58" t="e">
        <f>AND(#REF!,"AAAAAGnXXG0=")</f>
        <v>#REF!</v>
      </c>
      <c r="DG58" t="e">
        <f>AND(#REF!,"AAAAAGnXXG4=")</f>
        <v>#REF!</v>
      </c>
      <c r="DH58" t="e">
        <f>AND(#REF!,"AAAAAGnXXG8=")</f>
        <v>#REF!</v>
      </c>
      <c r="DI58" t="e">
        <f>AND(#REF!,"AAAAAGnXXHA=")</f>
        <v>#REF!</v>
      </c>
      <c r="DJ58" t="e">
        <f>AND(#REF!,"AAAAAGnXXHE=")</f>
        <v>#REF!</v>
      </c>
      <c r="DK58" t="e">
        <f>AND(#REF!,"AAAAAGnXXHI=")</f>
        <v>#REF!</v>
      </c>
      <c r="DL58" t="e">
        <f>AND(#REF!,"AAAAAGnXXHM=")</f>
        <v>#REF!</v>
      </c>
      <c r="DM58" t="e">
        <f>AND(#REF!,"AAAAAGnXXHQ=")</f>
        <v>#REF!</v>
      </c>
      <c r="DN58" t="e">
        <f>IF(#REF!,"AAAAAGnXXHU=",0)</f>
        <v>#REF!</v>
      </c>
      <c r="DO58" t="e">
        <f>AND(#REF!,"AAAAAGnXXHY=")</f>
        <v>#REF!</v>
      </c>
      <c r="DP58" t="e">
        <f>AND(#REF!,"AAAAAGnXXHc=")</f>
        <v>#REF!</v>
      </c>
      <c r="DQ58" t="e">
        <f>AND(#REF!,"AAAAAGnXXHg=")</f>
        <v>#REF!</v>
      </c>
      <c r="DR58" t="e">
        <f>AND(#REF!,"AAAAAGnXXHk=")</f>
        <v>#REF!</v>
      </c>
      <c r="DS58" t="e">
        <f>AND(#REF!,"AAAAAGnXXHo=")</f>
        <v>#REF!</v>
      </c>
      <c r="DT58" t="e">
        <f>AND(#REF!,"AAAAAGnXXHs=")</f>
        <v>#REF!</v>
      </c>
      <c r="DU58" t="e">
        <f>AND(#REF!,"AAAAAGnXXHw=")</f>
        <v>#REF!</v>
      </c>
      <c r="DV58" t="e">
        <f>AND(#REF!,"AAAAAGnXXH0=")</f>
        <v>#REF!</v>
      </c>
      <c r="DW58" t="e">
        <f>IF(#REF!,"AAAAAGnXXH4=",0)</f>
        <v>#REF!</v>
      </c>
      <c r="DX58" t="e">
        <f>AND(#REF!,"AAAAAGnXXH8=")</f>
        <v>#REF!</v>
      </c>
      <c r="DY58" t="e">
        <f>AND(#REF!,"AAAAAGnXXIA=")</f>
        <v>#REF!</v>
      </c>
      <c r="DZ58" t="e">
        <f>AND(#REF!,"AAAAAGnXXIE=")</f>
        <v>#REF!</v>
      </c>
      <c r="EA58" t="e">
        <f>AND(#REF!,"AAAAAGnXXII=")</f>
        <v>#REF!</v>
      </c>
      <c r="EB58" t="e">
        <f>AND(#REF!,"AAAAAGnXXIM=")</f>
        <v>#REF!</v>
      </c>
      <c r="EC58" t="e">
        <f>AND(#REF!,"AAAAAGnXXIQ=")</f>
        <v>#REF!</v>
      </c>
      <c r="ED58" t="e">
        <f>AND(#REF!,"AAAAAGnXXIU=")</f>
        <v>#REF!</v>
      </c>
      <c r="EE58" t="e">
        <f>AND(#REF!,"AAAAAGnXXIY=")</f>
        <v>#REF!</v>
      </c>
      <c r="EF58" t="e">
        <f>IF(#REF!,"AAAAAGnXXIc=",0)</f>
        <v>#REF!</v>
      </c>
      <c r="EG58" t="e">
        <f>AND(#REF!,"AAAAAGnXXIg=")</f>
        <v>#REF!</v>
      </c>
      <c r="EH58" t="e">
        <f>AND(#REF!,"AAAAAGnXXIk=")</f>
        <v>#REF!</v>
      </c>
      <c r="EI58" t="e">
        <f>AND(#REF!,"AAAAAGnXXIo=")</f>
        <v>#REF!</v>
      </c>
      <c r="EJ58" t="e">
        <f>AND(#REF!,"AAAAAGnXXIs=")</f>
        <v>#REF!</v>
      </c>
      <c r="EK58" t="e">
        <f>AND(#REF!,"AAAAAGnXXIw=")</f>
        <v>#REF!</v>
      </c>
      <c r="EL58" t="e">
        <f>AND(#REF!,"AAAAAGnXXI0=")</f>
        <v>#REF!</v>
      </c>
      <c r="EM58" t="e">
        <f>AND(#REF!,"AAAAAGnXXI4=")</f>
        <v>#REF!</v>
      </c>
      <c r="EN58" t="e">
        <f>AND(#REF!,"AAAAAGnXXI8=")</f>
        <v>#REF!</v>
      </c>
      <c r="EO58" t="e">
        <f>IF(#REF!,"AAAAAGnXXJA=",0)</f>
        <v>#REF!</v>
      </c>
      <c r="EP58" t="e">
        <f>AND(#REF!,"AAAAAGnXXJE=")</f>
        <v>#REF!</v>
      </c>
      <c r="EQ58" t="e">
        <f>AND(#REF!,"AAAAAGnXXJI=")</f>
        <v>#REF!</v>
      </c>
      <c r="ER58" t="e">
        <f>AND(#REF!,"AAAAAGnXXJM=")</f>
        <v>#REF!</v>
      </c>
      <c r="ES58" t="e">
        <f>AND(#REF!,"AAAAAGnXXJQ=")</f>
        <v>#REF!</v>
      </c>
      <c r="ET58" t="e">
        <f>AND(#REF!,"AAAAAGnXXJU=")</f>
        <v>#REF!</v>
      </c>
      <c r="EU58" t="e">
        <f>AND(#REF!,"AAAAAGnXXJY=")</f>
        <v>#REF!</v>
      </c>
      <c r="EV58" t="e">
        <f>AND(#REF!,"AAAAAGnXXJc=")</f>
        <v>#REF!</v>
      </c>
      <c r="EW58" t="e">
        <f>AND(#REF!,"AAAAAGnXXJg=")</f>
        <v>#REF!</v>
      </c>
      <c r="EX58" t="e">
        <f>IF(#REF!,"AAAAAGnXXJk=",0)</f>
        <v>#REF!</v>
      </c>
      <c r="EY58" t="e">
        <f>AND(#REF!,"AAAAAGnXXJo=")</f>
        <v>#REF!</v>
      </c>
      <c r="EZ58" t="e">
        <f>AND(#REF!,"AAAAAGnXXJs=")</f>
        <v>#REF!</v>
      </c>
      <c r="FA58" t="e">
        <f>AND(#REF!,"AAAAAGnXXJw=")</f>
        <v>#REF!</v>
      </c>
      <c r="FB58" t="e">
        <f>AND(#REF!,"AAAAAGnXXJ0=")</f>
        <v>#REF!</v>
      </c>
      <c r="FC58" t="e">
        <f>AND(#REF!,"AAAAAGnXXJ4=")</f>
        <v>#REF!</v>
      </c>
      <c r="FD58" t="e">
        <f>AND(#REF!,"AAAAAGnXXJ8=")</f>
        <v>#REF!</v>
      </c>
      <c r="FE58" t="e">
        <f>AND(#REF!,"AAAAAGnXXKA=")</f>
        <v>#REF!</v>
      </c>
      <c r="FF58" t="e">
        <f>AND(#REF!,"AAAAAGnXXKE=")</f>
        <v>#REF!</v>
      </c>
      <c r="FG58" t="e">
        <f>IF(#REF!,"AAAAAGnXXKI=",0)</f>
        <v>#REF!</v>
      </c>
      <c r="FH58" t="e">
        <f>AND(#REF!,"AAAAAGnXXKM=")</f>
        <v>#REF!</v>
      </c>
      <c r="FI58" t="e">
        <f>AND(#REF!,"AAAAAGnXXKQ=")</f>
        <v>#REF!</v>
      </c>
      <c r="FJ58" t="e">
        <f>AND(#REF!,"AAAAAGnXXKU=")</f>
        <v>#REF!</v>
      </c>
      <c r="FK58" t="e">
        <f>AND(#REF!,"AAAAAGnXXKY=")</f>
        <v>#REF!</v>
      </c>
      <c r="FL58" t="e">
        <f>AND(#REF!,"AAAAAGnXXKc=")</f>
        <v>#REF!</v>
      </c>
      <c r="FM58" t="e">
        <f>AND(#REF!,"AAAAAGnXXKg=")</f>
        <v>#REF!</v>
      </c>
      <c r="FN58" t="e">
        <f>AND(#REF!,"AAAAAGnXXKk=")</f>
        <v>#REF!</v>
      </c>
      <c r="FO58" t="e">
        <f>AND(#REF!,"AAAAAGnXXKo=")</f>
        <v>#REF!</v>
      </c>
      <c r="FP58" t="e">
        <f>IF(#REF!,"AAAAAGnXXKs=",0)</f>
        <v>#REF!</v>
      </c>
      <c r="FQ58" t="e">
        <f>AND(#REF!,"AAAAAGnXXKw=")</f>
        <v>#REF!</v>
      </c>
      <c r="FR58" t="e">
        <f>AND(#REF!,"AAAAAGnXXK0=")</f>
        <v>#REF!</v>
      </c>
      <c r="FS58" t="e">
        <f>AND(#REF!,"AAAAAGnXXK4=")</f>
        <v>#REF!</v>
      </c>
      <c r="FT58" t="e">
        <f>AND(#REF!,"AAAAAGnXXK8=")</f>
        <v>#REF!</v>
      </c>
      <c r="FU58" t="e">
        <f>AND(#REF!,"AAAAAGnXXLA=")</f>
        <v>#REF!</v>
      </c>
      <c r="FV58" t="e">
        <f>AND(#REF!,"AAAAAGnXXLE=")</f>
        <v>#REF!</v>
      </c>
      <c r="FW58" t="e">
        <f>AND(#REF!,"AAAAAGnXXLI=")</f>
        <v>#REF!</v>
      </c>
      <c r="FX58" t="e">
        <f>AND(#REF!,"AAAAAGnXXLM=")</f>
        <v>#REF!</v>
      </c>
      <c r="FY58" t="e">
        <f>IF(#REF!,"AAAAAGnXXLQ=",0)</f>
        <v>#REF!</v>
      </c>
      <c r="FZ58" t="e">
        <f>AND(#REF!,"AAAAAGnXXLU=")</f>
        <v>#REF!</v>
      </c>
      <c r="GA58" t="e">
        <f>AND(#REF!,"AAAAAGnXXLY=")</f>
        <v>#REF!</v>
      </c>
      <c r="GB58" t="e">
        <f>AND(#REF!,"AAAAAGnXXLc=")</f>
        <v>#REF!</v>
      </c>
      <c r="GC58" t="e">
        <f>AND(#REF!,"AAAAAGnXXLg=")</f>
        <v>#REF!</v>
      </c>
      <c r="GD58" t="e">
        <f>AND(#REF!,"AAAAAGnXXLk=")</f>
        <v>#REF!</v>
      </c>
      <c r="GE58" t="e">
        <f>AND(#REF!,"AAAAAGnXXLo=")</f>
        <v>#REF!</v>
      </c>
      <c r="GF58" t="e">
        <f>AND(#REF!,"AAAAAGnXXLs=")</f>
        <v>#REF!</v>
      </c>
      <c r="GG58" t="e">
        <f>AND(#REF!,"AAAAAGnXXLw=")</f>
        <v>#REF!</v>
      </c>
      <c r="GH58" t="e">
        <f>IF(#REF!,"AAAAAGnXXL0=",0)</f>
        <v>#REF!</v>
      </c>
      <c r="GI58" t="e">
        <f>AND(#REF!,"AAAAAGnXXL4=")</f>
        <v>#REF!</v>
      </c>
      <c r="GJ58" t="e">
        <f>AND(#REF!,"AAAAAGnXXL8=")</f>
        <v>#REF!</v>
      </c>
      <c r="GK58" t="e">
        <f>AND(#REF!,"AAAAAGnXXMA=")</f>
        <v>#REF!</v>
      </c>
      <c r="GL58" t="e">
        <f>AND(#REF!,"AAAAAGnXXME=")</f>
        <v>#REF!</v>
      </c>
      <c r="GM58" t="e">
        <f>AND(#REF!,"AAAAAGnXXMI=")</f>
        <v>#REF!</v>
      </c>
      <c r="GN58" t="e">
        <f>AND(#REF!,"AAAAAGnXXMM=")</f>
        <v>#REF!</v>
      </c>
      <c r="GO58" t="e">
        <f>AND(#REF!,"AAAAAGnXXMQ=")</f>
        <v>#REF!</v>
      </c>
      <c r="GP58" t="e">
        <f>AND(#REF!,"AAAAAGnXXMU=")</f>
        <v>#REF!</v>
      </c>
      <c r="GQ58" t="e">
        <f>IF(#REF!,"AAAAAGnXXMY=",0)</f>
        <v>#REF!</v>
      </c>
      <c r="GR58" t="e">
        <f>AND(#REF!,"AAAAAGnXXMc=")</f>
        <v>#REF!</v>
      </c>
      <c r="GS58" t="e">
        <f>AND(#REF!,"AAAAAGnXXMg=")</f>
        <v>#REF!</v>
      </c>
      <c r="GT58" t="e">
        <f>AND(#REF!,"AAAAAGnXXMk=")</f>
        <v>#REF!</v>
      </c>
      <c r="GU58" t="e">
        <f>AND(#REF!,"AAAAAGnXXMo=")</f>
        <v>#REF!</v>
      </c>
      <c r="GV58" t="e">
        <f>AND(#REF!,"AAAAAGnXXMs=")</f>
        <v>#REF!</v>
      </c>
      <c r="GW58" t="e">
        <f>AND(#REF!,"AAAAAGnXXMw=")</f>
        <v>#REF!</v>
      </c>
      <c r="GX58" t="e">
        <f>AND(#REF!,"AAAAAGnXXM0=")</f>
        <v>#REF!</v>
      </c>
      <c r="GY58" t="e">
        <f>AND(#REF!,"AAAAAGnXXM4=")</f>
        <v>#REF!</v>
      </c>
      <c r="GZ58" t="e">
        <f>IF(#REF!,"AAAAAGnXXM8=",0)</f>
        <v>#REF!</v>
      </c>
      <c r="HA58" t="e">
        <f>AND(#REF!,"AAAAAGnXXNA=")</f>
        <v>#REF!</v>
      </c>
      <c r="HB58" t="e">
        <f>AND(#REF!,"AAAAAGnXXNE=")</f>
        <v>#REF!</v>
      </c>
      <c r="HC58" t="e">
        <f>AND(#REF!,"AAAAAGnXXNI=")</f>
        <v>#REF!</v>
      </c>
      <c r="HD58" t="e">
        <f>AND(#REF!,"AAAAAGnXXNM=")</f>
        <v>#REF!</v>
      </c>
      <c r="HE58" t="e">
        <f>AND(#REF!,"AAAAAGnXXNQ=")</f>
        <v>#REF!</v>
      </c>
      <c r="HF58" t="e">
        <f>AND(#REF!,"AAAAAGnXXNU=")</f>
        <v>#REF!</v>
      </c>
      <c r="HG58" t="e">
        <f>AND(#REF!,"AAAAAGnXXNY=")</f>
        <v>#REF!</v>
      </c>
      <c r="HH58" t="e">
        <f>AND(#REF!,"AAAAAGnXXNc=")</f>
        <v>#REF!</v>
      </c>
      <c r="HI58" t="e">
        <f>IF(#REF!,"AAAAAGnXXNg=",0)</f>
        <v>#REF!</v>
      </c>
      <c r="HJ58" t="e">
        <f>AND(#REF!,"AAAAAGnXXNk=")</f>
        <v>#REF!</v>
      </c>
      <c r="HK58" t="e">
        <f>AND(#REF!,"AAAAAGnXXNo=")</f>
        <v>#REF!</v>
      </c>
      <c r="HL58" t="e">
        <f>AND(#REF!,"AAAAAGnXXNs=")</f>
        <v>#REF!</v>
      </c>
      <c r="HM58" t="e">
        <f>AND(#REF!,"AAAAAGnXXNw=")</f>
        <v>#REF!</v>
      </c>
      <c r="HN58" t="e">
        <f>AND(#REF!,"AAAAAGnXXN0=")</f>
        <v>#REF!</v>
      </c>
      <c r="HO58" t="e">
        <f>AND(#REF!,"AAAAAGnXXN4=")</f>
        <v>#REF!</v>
      </c>
      <c r="HP58" t="e">
        <f>AND(#REF!,"AAAAAGnXXN8=")</f>
        <v>#REF!</v>
      </c>
      <c r="HQ58" t="e">
        <f>AND(#REF!,"AAAAAGnXXOA=")</f>
        <v>#REF!</v>
      </c>
      <c r="HR58" t="e">
        <f>IF(#REF!,"AAAAAGnXXOE=",0)</f>
        <v>#REF!</v>
      </c>
      <c r="HS58" t="e">
        <f>AND(#REF!,"AAAAAGnXXOI=")</f>
        <v>#REF!</v>
      </c>
      <c r="HT58" t="e">
        <f>AND(#REF!,"AAAAAGnXXOM=")</f>
        <v>#REF!</v>
      </c>
      <c r="HU58" t="e">
        <f>AND(#REF!,"AAAAAGnXXOQ=")</f>
        <v>#REF!</v>
      </c>
      <c r="HV58" t="e">
        <f>AND(#REF!,"AAAAAGnXXOU=")</f>
        <v>#REF!</v>
      </c>
      <c r="HW58" t="e">
        <f>AND(#REF!,"AAAAAGnXXOY=")</f>
        <v>#REF!</v>
      </c>
      <c r="HX58" t="e">
        <f>AND(#REF!,"AAAAAGnXXOc=")</f>
        <v>#REF!</v>
      </c>
      <c r="HY58" t="e">
        <f>AND(#REF!,"AAAAAGnXXOg=")</f>
        <v>#REF!</v>
      </c>
      <c r="HZ58" t="e">
        <f>AND(#REF!,"AAAAAGnXXOk=")</f>
        <v>#REF!</v>
      </c>
      <c r="IA58" t="e">
        <f>IF(#REF!,"AAAAAGnXXOo=",0)</f>
        <v>#REF!</v>
      </c>
      <c r="IB58" t="e">
        <f>AND(#REF!,"AAAAAGnXXOs=")</f>
        <v>#REF!</v>
      </c>
      <c r="IC58" t="e">
        <f>AND(#REF!,"AAAAAGnXXOw=")</f>
        <v>#REF!</v>
      </c>
      <c r="ID58" t="e">
        <f>AND(#REF!,"AAAAAGnXXO0=")</f>
        <v>#REF!</v>
      </c>
      <c r="IE58" t="e">
        <f>AND(#REF!,"AAAAAGnXXO4=")</f>
        <v>#REF!</v>
      </c>
      <c r="IF58" t="e">
        <f>AND(#REF!,"AAAAAGnXXO8=")</f>
        <v>#REF!</v>
      </c>
      <c r="IG58" t="e">
        <f>AND(#REF!,"AAAAAGnXXPA=")</f>
        <v>#REF!</v>
      </c>
      <c r="IH58" t="e">
        <f>AND(#REF!,"AAAAAGnXXPE=")</f>
        <v>#REF!</v>
      </c>
      <c r="II58" t="e">
        <f>AND(#REF!,"AAAAAGnXXPI=")</f>
        <v>#REF!</v>
      </c>
      <c r="IJ58" t="e">
        <f>IF(#REF!,"AAAAAGnXXPM=",0)</f>
        <v>#REF!</v>
      </c>
      <c r="IK58" t="e">
        <f>AND(#REF!,"AAAAAGnXXPQ=")</f>
        <v>#REF!</v>
      </c>
      <c r="IL58" t="e">
        <f>AND(#REF!,"AAAAAGnXXPU=")</f>
        <v>#REF!</v>
      </c>
      <c r="IM58" t="e">
        <f>AND(#REF!,"AAAAAGnXXPY=")</f>
        <v>#REF!</v>
      </c>
      <c r="IN58" t="e">
        <f>AND(#REF!,"AAAAAGnXXPc=")</f>
        <v>#REF!</v>
      </c>
      <c r="IO58" t="e">
        <f>AND(#REF!,"AAAAAGnXXPg=")</f>
        <v>#REF!</v>
      </c>
      <c r="IP58" t="e">
        <f>AND(#REF!,"AAAAAGnXXPk=")</f>
        <v>#REF!</v>
      </c>
      <c r="IQ58" t="e">
        <f>AND(#REF!,"AAAAAGnXXPo=")</f>
        <v>#REF!</v>
      </c>
      <c r="IR58" t="e">
        <f>AND(#REF!,"AAAAAGnXXPs=")</f>
        <v>#REF!</v>
      </c>
    </row>
    <row r="59" spans="1:256" x14ac:dyDescent="0.35">
      <c r="A59" t="e">
        <f>IF(#REF!,"AAAAAE/vzwA=",0)</f>
        <v>#REF!</v>
      </c>
      <c r="B59" t="e">
        <f>AND(#REF!,"AAAAAE/vzwE=")</f>
        <v>#REF!</v>
      </c>
      <c r="C59" t="e">
        <f>AND(#REF!,"AAAAAE/vzwI=")</f>
        <v>#REF!</v>
      </c>
      <c r="D59" t="e">
        <f>AND(#REF!,"AAAAAE/vzwM=")</f>
        <v>#REF!</v>
      </c>
      <c r="E59" t="e">
        <f>IF(#REF!,"AAAAAE/vzwQ=",0)</f>
        <v>#REF!</v>
      </c>
      <c r="F59" t="e">
        <f>AND(#REF!,"AAAAAE/vzwU=")</f>
        <v>#REF!</v>
      </c>
      <c r="G59" t="e">
        <f>AND(#REF!,"AAAAAE/vzwY=")</f>
        <v>#REF!</v>
      </c>
      <c r="H59" t="e">
        <f>AND(#REF!,"AAAAAE/vzwc=")</f>
        <v>#REF!</v>
      </c>
      <c r="I59" t="e">
        <f>IF(#REF!,"AAAAAE/vzwg=",0)</f>
        <v>#REF!</v>
      </c>
      <c r="J59" t="e">
        <f>AND(#REF!,"AAAAAE/vzwk=")</f>
        <v>#REF!</v>
      </c>
      <c r="K59" t="e">
        <f>AND(#REF!,"AAAAAE/vzwo=")</f>
        <v>#REF!</v>
      </c>
      <c r="L59" t="e">
        <f>AND(#REF!,"AAAAAE/vzws=")</f>
        <v>#REF!</v>
      </c>
      <c r="M59" t="e">
        <f>IF(#REF!,"AAAAAE/vzww=",0)</f>
        <v>#REF!</v>
      </c>
      <c r="N59" t="e">
        <f>AND(#REF!,"AAAAAE/vzw0=")</f>
        <v>#REF!</v>
      </c>
      <c r="O59" t="e">
        <f>AND(#REF!,"AAAAAE/vzw4=")</f>
        <v>#REF!</v>
      </c>
      <c r="P59" t="e">
        <f>AND(#REF!,"AAAAAE/vzw8=")</f>
        <v>#REF!</v>
      </c>
      <c r="Q59" t="e">
        <f>IF(#REF!,"AAAAAE/vzxA=",0)</f>
        <v>#REF!</v>
      </c>
      <c r="R59" t="e">
        <f>AND(#REF!,"AAAAAE/vzxE=")</f>
        <v>#REF!</v>
      </c>
      <c r="S59" t="e">
        <f>AND(#REF!,"AAAAAE/vzxI=")</f>
        <v>#REF!</v>
      </c>
      <c r="T59" t="e">
        <f>AND(#REF!,"AAAAAE/vzxM=")</f>
        <v>#REF!</v>
      </c>
      <c r="U59" t="e">
        <f>IF(#REF!,"AAAAAE/vzxQ=",0)</f>
        <v>#REF!</v>
      </c>
      <c r="V59" t="e">
        <f>AND(#REF!,"AAAAAE/vzxU=")</f>
        <v>#REF!</v>
      </c>
      <c r="W59" t="e">
        <f>AND(#REF!,"AAAAAE/vzxY=")</f>
        <v>#REF!</v>
      </c>
      <c r="X59" t="e">
        <f>AND(#REF!,"AAAAAE/vzxc=")</f>
        <v>#REF!</v>
      </c>
      <c r="Y59" t="e">
        <f>IF(#REF!,"AAAAAE/vzxg=",0)</f>
        <v>#REF!</v>
      </c>
      <c r="Z59" t="e">
        <f>AND(#REF!,"AAAAAE/vzxk=")</f>
        <v>#REF!</v>
      </c>
      <c r="AA59" t="e">
        <f>AND(#REF!,"AAAAAE/vzxo=")</f>
        <v>#REF!</v>
      </c>
      <c r="AB59" t="e">
        <f>AND(#REF!,"AAAAAE/vzxs=")</f>
        <v>#REF!</v>
      </c>
      <c r="AC59" t="e">
        <f>IF(#REF!,"AAAAAE/vzxw=",0)</f>
        <v>#REF!</v>
      </c>
      <c r="AD59" t="e">
        <f>AND(#REF!,"AAAAAE/vzx0=")</f>
        <v>#REF!</v>
      </c>
      <c r="AE59" t="e">
        <f>AND(#REF!,"AAAAAE/vzx4=")</f>
        <v>#REF!</v>
      </c>
      <c r="AF59" t="e">
        <f>AND(#REF!,"AAAAAE/vzx8=")</f>
        <v>#REF!</v>
      </c>
    </row>
    <row r="60" spans="1:256" x14ac:dyDescent="0.35">
      <c r="A60" t="e">
        <f>IF(#REF!,"AAAAAHV/5wA=",0)</f>
        <v>#REF!</v>
      </c>
      <c r="B60" t="e">
        <f>AND(#REF!,"AAAAAHV/5wE=")</f>
        <v>#REF!</v>
      </c>
      <c r="C60" t="e">
        <f>IF(#REF!,"AAAAAHV/5wI=",0)</f>
        <v>#REF!</v>
      </c>
      <c r="D60" t="e">
        <f>AND(#REF!,"AAAAAHV/5wM=")</f>
        <v>#REF!</v>
      </c>
      <c r="E60" t="e">
        <f>IF(#REF!,"AAAAAHV/5wQ=",0)</f>
        <v>#REF!</v>
      </c>
      <c r="F60" t="e">
        <f>AND(#REF!,"AAAAAHV/5wU=")</f>
        <v>#REF!</v>
      </c>
      <c r="G60" t="e">
        <f>IF(#REF!,"AAAAAHV/5wY=",0)</f>
        <v>#REF!</v>
      </c>
      <c r="H60" t="e">
        <f>AND(#REF!,"AAAAAHV/5wc=")</f>
        <v>#REF!</v>
      </c>
      <c r="I60" t="e">
        <f>IF(#REF!,"AAAAAHV/5wg=",0)</f>
        <v>#REF!</v>
      </c>
      <c r="J60" t="e">
        <f>AND(#REF!,"AAAAAHV/5wk=")</f>
        <v>#REF!</v>
      </c>
      <c r="K60" t="e">
        <f>IF(#REF!,"AAAAAHV/5wo=",0)</f>
        <v>#REF!</v>
      </c>
      <c r="L60" t="e">
        <f>AND(#REF!,"AAAAAHV/5ws=")</f>
        <v>#REF!</v>
      </c>
      <c r="M60" t="e">
        <f>IF(#REF!,"AAAAAHV/5ww=",0)</f>
        <v>#REF!</v>
      </c>
      <c r="N60" t="e">
        <f>AND(#REF!,"AAAAAHV/5w0=")</f>
        <v>#REF!</v>
      </c>
      <c r="O60" t="e">
        <f>IF(#REF!,"AAAAAHV/5w4=",0)</f>
        <v>#REF!</v>
      </c>
      <c r="P60" t="e">
        <f>AND(#REF!,"AAAAAHV/5w8=")</f>
        <v>#REF!</v>
      </c>
      <c r="Q60" t="e">
        <f>IF(#REF!,"AAAAAHV/5xA=",0)</f>
        <v>#REF!</v>
      </c>
      <c r="R60" t="e">
        <f>AND(#REF!,"AAAAAHV/5xE=")</f>
        <v>#REF!</v>
      </c>
      <c r="S60" t="e">
        <f>IF(#REF!,"AAAAAHV/5xI=",0)</f>
        <v>#REF!</v>
      </c>
      <c r="T60" t="e">
        <f>AND(#REF!,"AAAAAHV/5xM=")</f>
        <v>#REF!</v>
      </c>
      <c r="U60" t="e">
        <f>IF(#REF!,"AAAAAHV/5xQ=",0)</f>
        <v>#REF!</v>
      </c>
      <c r="V60" t="e">
        <f>AND(#REF!,"AAAAAHV/5xU=")</f>
        <v>#REF!</v>
      </c>
      <c r="W60" t="e">
        <f>IF(#REF!,"AAAAAHV/5xY=",0)</f>
        <v>#REF!</v>
      </c>
      <c r="X60" t="e">
        <f>AND(#REF!,"AAAAAHV/5xc=")</f>
        <v>#REF!</v>
      </c>
      <c r="Y60" t="e">
        <f>IF(#REF!,"AAAAAHV/5xg=",0)</f>
        <v>#REF!</v>
      </c>
      <c r="Z60" t="e">
        <f>AND(#REF!,"AAAAAHV/5xk=")</f>
        <v>#REF!</v>
      </c>
      <c r="AA60" t="e">
        <f>IF(#REF!,"AAAAAHV/5xo=",0)</f>
        <v>#REF!</v>
      </c>
      <c r="AB60" t="e">
        <f>AND(#REF!,"AAAAAHV/5xs=")</f>
        <v>#REF!</v>
      </c>
      <c r="AC60" t="e">
        <f>IF(#REF!,"AAAAAHV/5xw=",0)</f>
        <v>#REF!</v>
      </c>
      <c r="AD60" t="e">
        <f>AND(#REF!,"AAAAAHV/5x0=")</f>
        <v>#REF!</v>
      </c>
      <c r="AE60" t="e">
        <f>IF(#REF!,"AAAAAHV/5x4=",0)</f>
        <v>#REF!</v>
      </c>
      <c r="AF60" t="e">
        <f>AND(#REF!,"AAAAAHV/5x8=")</f>
        <v>#REF!</v>
      </c>
      <c r="AG60" t="e">
        <f>IF(#REF!,"AAAAAHV/5yA=",0)</f>
        <v>#REF!</v>
      </c>
      <c r="AH60" t="e">
        <f>AND(#REF!,"AAAAAHV/5yE=")</f>
        <v>#REF!</v>
      </c>
      <c r="AI60" t="e">
        <f>IF(#REF!,"AAAAAHV/5yI=",0)</f>
        <v>#REF!</v>
      </c>
      <c r="AJ60" t="e">
        <f>AND(#REF!,"AAAAAHV/5yM=")</f>
        <v>#REF!</v>
      </c>
      <c r="AK60" t="e">
        <f>IF(#REF!,"AAAAAHV/5yQ=",0)</f>
        <v>#REF!</v>
      </c>
      <c r="AL60" t="e">
        <f>AND(#REF!,"AAAAAHV/5yU=")</f>
        <v>#REF!</v>
      </c>
      <c r="AM60" t="e">
        <f>IF(#REF!,"AAAAAHV/5yY=",0)</f>
        <v>#REF!</v>
      </c>
      <c r="AN60" t="e">
        <f>AND(#REF!,"AAAAAHV/5yc=")</f>
        <v>#REF!</v>
      </c>
      <c r="AO60" t="e">
        <f>IF(#REF!,"AAAAAHV/5yg=",0)</f>
        <v>#REF!</v>
      </c>
      <c r="AP60" t="e">
        <f>AND(#REF!,"AAAAAHV/5yk=")</f>
        <v>#REF!</v>
      </c>
      <c r="AQ60" t="e">
        <f>IF(#REF!,"AAAAAHV/5yo=",0)</f>
        <v>#REF!</v>
      </c>
      <c r="AR60" t="e">
        <f>AND(#REF!,"AAAAAHV/5ys=")</f>
        <v>#REF!</v>
      </c>
      <c r="AS60" t="e">
        <f>IF(#REF!,"AAAAAHV/5yw=",0)</f>
        <v>#REF!</v>
      </c>
      <c r="AT60" t="e">
        <f>AND(#REF!,"AAAAAHV/5y0=")</f>
        <v>#REF!</v>
      </c>
      <c r="AU60" t="e">
        <f>IF(#REF!,"AAAAAHV/5y4=",0)</f>
        <v>#REF!</v>
      </c>
      <c r="AV60" t="e">
        <f>AND(#REF!,"AAAAAHV/5y8=")</f>
        <v>#REF!</v>
      </c>
      <c r="AW60" t="e">
        <f>IF(#REF!,"AAAAAHV/5zA=",0)</f>
        <v>#REF!</v>
      </c>
      <c r="AX60" t="e">
        <f>AND(#REF!,"AAAAAHV/5zE=")</f>
        <v>#REF!</v>
      </c>
      <c r="AY60" t="e">
        <f>IF(#REF!,"AAAAAHV/5zI=",0)</f>
        <v>#REF!</v>
      </c>
      <c r="AZ60" t="e">
        <f>AND(#REF!,"AAAAAHV/5zM=")</f>
        <v>#REF!</v>
      </c>
      <c r="BA60" t="e">
        <f>IF(#REF!,"AAAAAHV/5zQ=",0)</f>
        <v>#REF!</v>
      </c>
      <c r="BB60" t="e">
        <f>AND(#REF!,"AAAAAHV/5zU=")</f>
        <v>#REF!</v>
      </c>
      <c r="BC60" t="e">
        <f>IF(#REF!,"AAAAAHV/5zY=",0)</f>
        <v>#REF!</v>
      </c>
      <c r="BD60" t="e">
        <f>AND(#REF!,"AAAAAHV/5zc=")</f>
        <v>#REF!</v>
      </c>
      <c r="BE60" t="e">
        <f>IF(#REF!,"AAAAAHV/5zg=",0)</f>
        <v>#REF!</v>
      </c>
      <c r="BF60" t="e">
        <f>AND(#REF!,"AAAAAHV/5zk=")</f>
        <v>#REF!</v>
      </c>
      <c r="BG60" t="e">
        <f>IF(#REF!,"AAAAAHV/5zo=",0)</f>
        <v>#REF!</v>
      </c>
      <c r="BH60" t="e">
        <f>AND(#REF!,"AAAAAHV/5zs=")</f>
        <v>#REF!</v>
      </c>
      <c r="BI60" t="e">
        <f>IF(#REF!,"AAAAAHV/5zw=",0)</f>
        <v>#REF!</v>
      </c>
      <c r="BJ60" t="e">
        <f>AND(#REF!,"AAAAAHV/5z0=")</f>
        <v>#REF!</v>
      </c>
      <c r="BK60" t="e">
        <f>IF(#REF!,"AAAAAHV/5z4=",0)</f>
        <v>#REF!</v>
      </c>
      <c r="BL60" t="e">
        <f>AND(#REF!,"AAAAAHV/5z8=")</f>
        <v>#REF!</v>
      </c>
      <c r="BM60" t="e">
        <f>IF(#REF!,"AAAAAHV/50A=",0)</f>
        <v>#REF!</v>
      </c>
    </row>
    <row r="61" spans="1:256" x14ac:dyDescent="0.35">
      <c r="A61" t="e">
        <f>AND(#REF!,"AAAAAHtv/wA=")</f>
        <v>#REF!</v>
      </c>
      <c r="B61" t="e">
        <f>AND(#REF!,"AAAAAHtv/wE=")</f>
        <v>#REF!</v>
      </c>
      <c r="C61" t="e">
        <f>AND(#REF!,"AAAAAHtv/wI=")</f>
        <v>#REF!</v>
      </c>
      <c r="D61" t="e">
        <f>AND(#REF!,"AAAAAHtv/wM=")</f>
        <v>#REF!</v>
      </c>
      <c r="E61" t="e">
        <f>AND(#REF!,"AAAAAHtv/wQ=")</f>
        <v>#REF!</v>
      </c>
      <c r="F61" t="e">
        <f>AND(#REF!,"AAAAAHtv/wU=")</f>
        <v>#REF!</v>
      </c>
      <c r="G61" t="e">
        <f>AND(#REF!,"AAAAAHtv/wY=")</f>
        <v>#REF!</v>
      </c>
      <c r="H61" t="e">
        <f>AND(#REF!,"AAAAAHtv/wc=")</f>
        <v>#REF!</v>
      </c>
      <c r="I61" t="e">
        <f>AND(#REF!,"AAAAAHtv/wg=")</f>
        <v>#REF!</v>
      </c>
      <c r="J61" t="e">
        <f>AND(#REF!,"AAAAAHtv/wk=")</f>
        <v>#REF!</v>
      </c>
      <c r="K61" t="e">
        <f>AND(#REF!,"AAAAAHtv/wo=")</f>
        <v>#REF!</v>
      </c>
      <c r="L61" t="e">
        <f>AND(#REF!,"AAAAAHtv/ws=")</f>
        <v>#REF!</v>
      </c>
      <c r="M61" t="e">
        <f>AND(#REF!,"AAAAAHtv/ww=")</f>
        <v>#REF!</v>
      </c>
      <c r="N61" t="e">
        <f>AND(#REF!,"AAAAAHtv/w0=")</f>
        <v>#REF!</v>
      </c>
      <c r="O61" t="e">
        <f>AND(#REF!,"AAAAAHtv/w4=")</f>
        <v>#REF!</v>
      </c>
      <c r="P61" t="e">
        <f>AND(#REF!,"AAAAAHtv/w8=")</f>
        <v>#REF!</v>
      </c>
      <c r="Q61" t="e">
        <f>AND(#REF!,"AAAAAHtv/xA=")</f>
        <v>#REF!</v>
      </c>
      <c r="R61" t="e">
        <f>AND(#REF!,"AAAAAHtv/xE=")</f>
        <v>#REF!</v>
      </c>
      <c r="S61" t="e">
        <f>AND(#REF!,"AAAAAHtv/xI=")</f>
        <v>#REF!</v>
      </c>
      <c r="T61" t="e">
        <f>AND(#REF!,"AAAAAHtv/xM=")</f>
        <v>#REF!</v>
      </c>
      <c r="U61" t="e">
        <f>AND(#REF!,"AAAAAHtv/xQ=")</f>
        <v>#REF!</v>
      </c>
      <c r="V61" t="e">
        <f>AND(#REF!,"AAAAAHtv/xU=")</f>
        <v>#REF!</v>
      </c>
      <c r="W61" t="e">
        <f>AND(#REF!,"AAAAAHtv/xY=")</f>
        <v>#REF!</v>
      </c>
      <c r="X61" t="e">
        <f>AND(#REF!,"AAAAAHtv/xc=")</f>
        <v>#REF!</v>
      </c>
      <c r="Y61" t="e">
        <f>AND(#REF!,"AAAAAHtv/xg=")</f>
        <v>#REF!</v>
      </c>
      <c r="Z61" t="e">
        <f>AND(#REF!,"AAAAAHtv/xk=")</f>
        <v>#REF!</v>
      </c>
      <c r="AA61" t="e">
        <f>AND(#REF!,"AAAAAHtv/xo=")</f>
        <v>#REF!</v>
      </c>
      <c r="AB61" t="e">
        <f>AND(#REF!,"AAAAAHtv/xs=")</f>
        <v>#REF!</v>
      </c>
      <c r="AC61" t="e">
        <f>AND(#REF!,"AAAAAHtv/xw=")</f>
        <v>#REF!</v>
      </c>
      <c r="AD61" t="e">
        <f>AND(#REF!,"AAAAAHtv/x0=")</f>
        <v>#REF!</v>
      </c>
      <c r="AE61" t="e">
        <f>AND(#REF!,"AAAAAHtv/x4=")</f>
        <v>#REF!</v>
      </c>
      <c r="AF61" t="e">
        <f>AND(#REF!,"AAAAAHtv/x8=")</f>
        <v>#REF!</v>
      </c>
      <c r="AG61" t="e">
        <f>IF(#REF!,"AAAAAHtv/yA=",0)</f>
        <v>#REF!</v>
      </c>
    </row>
    <row r="62" spans="1:256" x14ac:dyDescent="0.35">
      <c r="A62" t="e">
        <f>IF(#REF!,"AAAAAF//3wA=",0)</f>
        <v>#REF!</v>
      </c>
      <c r="B62" t="e">
        <f>AND(#REF!,"AAAAAF//3wE=")</f>
        <v>#REF!</v>
      </c>
      <c r="C62" t="e">
        <f>AND(#REF!,"AAAAAF//3wI=")</f>
        <v>#REF!</v>
      </c>
      <c r="D62" t="e">
        <f>IF(#REF!,"AAAAAF//3wM=",0)</f>
        <v>#REF!</v>
      </c>
      <c r="E62" t="e">
        <f>AND(#REF!,"AAAAAF//3wQ=")</f>
        <v>#REF!</v>
      </c>
      <c r="F62" t="e">
        <f>AND(#REF!,"AAAAAF//3wU=")</f>
        <v>#REF!</v>
      </c>
      <c r="G62" t="e">
        <f>IF(#REF!,"AAAAAF//3wY=",0)</f>
        <v>#REF!</v>
      </c>
      <c r="H62" t="e">
        <f>AND(#REF!,"AAAAAF//3wc=")</f>
        <v>#REF!</v>
      </c>
      <c r="I62" t="e">
        <f>AND(#REF!,"AAAAAF//3wg=")</f>
        <v>#REF!</v>
      </c>
      <c r="J62" t="e">
        <f>IF(#REF!,"AAAAAF//3wk=",0)</f>
        <v>#REF!</v>
      </c>
      <c r="K62" t="e">
        <f>AND(#REF!,"AAAAAF//3wo=")</f>
        <v>#REF!</v>
      </c>
      <c r="L62" t="e">
        <f>AND(#REF!,"AAAAAF//3ws=")</f>
        <v>#REF!</v>
      </c>
      <c r="M62" t="e">
        <f>IF(#REF!,"AAAAAF//3ww=",0)</f>
        <v>#REF!</v>
      </c>
      <c r="N62" t="e">
        <f>AND(#REF!,"AAAAAF//3w0=")</f>
        <v>#REF!</v>
      </c>
      <c r="O62" t="e">
        <f>AND(#REF!,"AAAAAF//3w4=")</f>
        <v>#REF!</v>
      </c>
      <c r="P62" t="e">
        <f>IF(#REF!,"AAAAAF//3w8=",0)</f>
        <v>#REF!</v>
      </c>
      <c r="Q62" t="e">
        <f>AND(#REF!,"AAAAAF//3xA=")</f>
        <v>#REF!</v>
      </c>
      <c r="R62" t="e">
        <f>AND(#REF!,"AAAAAF//3xE=")</f>
        <v>#REF!</v>
      </c>
      <c r="S62" t="e">
        <f>IF(#REF!,"AAAAAF//3xI=",0)</f>
        <v>#REF!</v>
      </c>
      <c r="T62" t="e">
        <f>AND(#REF!,"AAAAAF//3xM=")</f>
        <v>#REF!</v>
      </c>
      <c r="U62" t="e">
        <f>AND(#REF!,"AAAAAF//3xQ=")</f>
        <v>#REF!</v>
      </c>
      <c r="V62" t="e">
        <f>IF(#REF!,"AAAAAF//3xU=",0)</f>
        <v>#REF!</v>
      </c>
      <c r="W62" t="e">
        <f>AND(#REF!,"AAAAAF//3xY=")</f>
        <v>#REF!</v>
      </c>
      <c r="X62" t="e">
        <f>AND(#REF!,"AAAAAF//3xc=")</f>
        <v>#REF!</v>
      </c>
      <c r="Y62" t="e">
        <f>IF(#REF!,"AAAAAF//3xg=",0)</f>
        <v>#REF!</v>
      </c>
      <c r="Z62" t="e">
        <f>AND(#REF!,"AAAAAF//3xk=")</f>
        <v>#REF!</v>
      </c>
      <c r="AA62" t="e">
        <f>AND(#REF!,"AAAAAF//3xo=")</f>
        <v>#REF!</v>
      </c>
      <c r="AB62" t="e">
        <f>IF(#REF!,"AAAAAF//3xs=",0)</f>
        <v>#REF!</v>
      </c>
      <c r="AC62" t="e">
        <f>AND(#REF!,"AAAAAF//3xw=")</f>
        <v>#REF!</v>
      </c>
      <c r="AD62" t="e">
        <f>AND(#REF!,"AAAAAF//3x0=")</f>
        <v>#REF!</v>
      </c>
      <c r="AE62" t="e">
        <f>IF(#REF!,"AAAAAF//3x4=",0)</f>
        <v>#REF!</v>
      </c>
      <c r="AF62" t="e">
        <f>AND(#REF!,"AAAAAF//3x8=")</f>
        <v>#REF!</v>
      </c>
      <c r="AG62" t="e">
        <f>AND(#REF!,"AAAAAF//3yA=")</f>
        <v>#REF!</v>
      </c>
      <c r="AH62" t="e">
        <f>IF(#REF!,"AAAAAF//3yE=",0)</f>
        <v>#REF!</v>
      </c>
      <c r="AI62" t="e">
        <f>AND(#REF!,"AAAAAF//3yI=")</f>
        <v>#REF!</v>
      </c>
      <c r="AJ62" t="e">
        <f>AND(#REF!,"AAAAAF//3yM=")</f>
        <v>#REF!</v>
      </c>
      <c r="AK62" t="e">
        <f>IF(#REF!,"AAAAAF//3yQ=",0)</f>
        <v>#REF!</v>
      </c>
      <c r="AL62" t="e">
        <f>AND(#REF!,"AAAAAF//3yU=")</f>
        <v>#REF!</v>
      </c>
      <c r="AM62" t="e">
        <f>AND(#REF!,"AAAAAF//3yY=")</f>
        <v>#REF!</v>
      </c>
      <c r="AN62" t="e">
        <f>IF(#REF!,"AAAAAF//3yc=",0)</f>
        <v>#REF!</v>
      </c>
      <c r="AO62" t="e">
        <f>AND(#REF!,"AAAAAF//3yg=")</f>
        <v>#REF!</v>
      </c>
      <c r="AP62" t="e">
        <f>AND(#REF!,"AAAAAF//3yk=")</f>
        <v>#REF!</v>
      </c>
      <c r="AQ62" t="e">
        <f>IF(#REF!,"AAAAAF//3yo=",0)</f>
        <v>#REF!</v>
      </c>
      <c r="AR62" t="e">
        <f>AND(#REF!,"AAAAAF//3ys=")</f>
        <v>#REF!</v>
      </c>
      <c r="AS62" t="e">
        <f>AND(#REF!,"AAAAAF//3yw=")</f>
        <v>#REF!</v>
      </c>
      <c r="AT62" t="e">
        <f>IF(#REF!,"AAAAAF//3y0=",0)</f>
        <v>#REF!</v>
      </c>
      <c r="AU62" t="e">
        <f>AND(#REF!,"AAAAAF//3y4=")</f>
        <v>#REF!</v>
      </c>
      <c r="AV62" t="e">
        <f>AND(#REF!,"AAAAAF//3y8=")</f>
        <v>#REF!</v>
      </c>
      <c r="AW62" t="e">
        <f>IF(#REF!,"AAAAAF//3zA=",0)</f>
        <v>#REF!</v>
      </c>
      <c r="AX62" t="e">
        <f>AND(#REF!,"AAAAAF//3zE=")</f>
        <v>#REF!</v>
      </c>
      <c r="AY62" t="e">
        <f>AND(#REF!,"AAAAAF//3zI=")</f>
        <v>#REF!</v>
      </c>
      <c r="AZ62" t="e">
        <f>IF(#REF!,"AAAAAF//3zM=",0)</f>
        <v>#REF!</v>
      </c>
      <c r="BA62" t="e">
        <f>AND(#REF!,"AAAAAF//3zQ=")</f>
        <v>#REF!</v>
      </c>
      <c r="BB62" t="e">
        <f>AND(#REF!,"AAAAAF//3zU=")</f>
        <v>#REF!</v>
      </c>
      <c r="BC62" t="e">
        <f>IF(#REF!,"AAAAAF//3zY=",0)</f>
        <v>#REF!</v>
      </c>
      <c r="BD62" t="e">
        <f>AND(#REF!,"AAAAAF//3zc=")</f>
        <v>#REF!</v>
      </c>
      <c r="BE62" t="e">
        <f>AND(#REF!,"AAAAAF//3zg=")</f>
        <v>#REF!</v>
      </c>
      <c r="BF62" t="e">
        <f>IF(#REF!,"AAAAAF//3zk=",0)</f>
        <v>#REF!</v>
      </c>
      <c r="BG62" t="e">
        <f>AND(#REF!,"AAAAAF//3zo=")</f>
        <v>#REF!</v>
      </c>
      <c r="BH62" t="e">
        <f>AND(#REF!,"AAAAAF//3zs=")</f>
        <v>#REF!</v>
      </c>
      <c r="BI62" t="e">
        <f>IF(#REF!,"AAAAAF//3zw=",0)</f>
        <v>#REF!</v>
      </c>
      <c r="BJ62" t="e">
        <f>AND(#REF!,"AAAAAF//3z0=")</f>
        <v>#REF!</v>
      </c>
      <c r="BK62" t="e">
        <f>AND(#REF!,"AAAAAF//3z4=")</f>
        <v>#REF!</v>
      </c>
      <c r="BL62" t="e">
        <f>IF(#REF!,"AAAAAF//3z8=",0)</f>
        <v>#REF!</v>
      </c>
      <c r="BM62" t="e">
        <f>AND(#REF!,"AAAAAF//30A=")</f>
        <v>#REF!</v>
      </c>
      <c r="BN62" t="e">
        <f>AND(#REF!,"AAAAAF//30E=")</f>
        <v>#REF!</v>
      </c>
      <c r="BO62" t="e">
        <f>IF(#REF!,"AAAAAF//30I=",0)</f>
        <v>#REF!</v>
      </c>
      <c r="BP62" t="e">
        <f>AND(#REF!,"AAAAAF//30M=")</f>
        <v>#REF!</v>
      </c>
      <c r="BQ62" t="e">
        <f>AND(#REF!,"AAAAAF//30Q=")</f>
        <v>#REF!</v>
      </c>
      <c r="BR62" t="e">
        <f>IF(#REF!,"AAAAAF//30U=",0)</f>
        <v>#REF!</v>
      </c>
      <c r="BS62" t="e">
        <f>AND(#REF!,"AAAAAF//30Y=")</f>
        <v>#REF!</v>
      </c>
      <c r="BT62" t="e">
        <f>AND(#REF!,"AAAAAF//30c=")</f>
        <v>#REF!</v>
      </c>
      <c r="BU62" t="e">
        <f>IF(#REF!,"AAAAAF//30g=",0)</f>
        <v>#REF!</v>
      </c>
      <c r="BV62" t="e">
        <f>AND(#REF!,"AAAAAF//30k=")</f>
        <v>#REF!</v>
      </c>
      <c r="BW62" t="e">
        <f>AND(#REF!,"AAAAAF//30o=")</f>
        <v>#REF!</v>
      </c>
      <c r="BX62" t="e">
        <f>IF(#REF!,"AAAAAF//30s=",0)</f>
        <v>#REF!</v>
      </c>
      <c r="BY62" t="e">
        <f>AND(#REF!,"AAAAAF//30w=")</f>
        <v>#REF!</v>
      </c>
      <c r="BZ62" t="e">
        <f>AND(#REF!,"AAAAAF//300=")</f>
        <v>#REF!</v>
      </c>
      <c r="CA62" t="e">
        <f>IF(#REF!,"AAAAAF//304=",0)</f>
        <v>#REF!</v>
      </c>
      <c r="CB62" t="e">
        <f>AND(#REF!,"AAAAAF//308=")</f>
        <v>#REF!</v>
      </c>
      <c r="CC62" t="e">
        <f>AND(#REF!,"AAAAAF//31A=")</f>
        <v>#REF!</v>
      </c>
      <c r="CD62" t="e">
        <f>IF(#REF!,"AAAAAF//31E=",0)</f>
        <v>#REF!</v>
      </c>
      <c r="CE62" t="e">
        <f>AND(#REF!,"AAAAAF//31I=")</f>
        <v>#REF!</v>
      </c>
      <c r="CF62" t="e">
        <f>AND(#REF!,"AAAAAF//31M=")</f>
        <v>#REF!</v>
      </c>
      <c r="CG62" t="e">
        <f>IF(#REF!,"AAAAAF//31Q=",0)</f>
        <v>#REF!</v>
      </c>
      <c r="CH62" t="e">
        <f>AND(#REF!,"AAAAAF//31U=")</f>
        <v>#REF!</v>
      </c>
      <c r="CI62" t="e">
        <f>AND(#REF!,"AAAAAF//31Y=")</f>
        <v>#REF!</v>
      </c>
      <c r="CJ62" t="e">
        <f>IF(#REF!,"AAAAAF//31c=",0)</f>
        <v>#REF!</v>
      </c>
      <c r="CK62" t="e">
        <f>AND(#REF!,"AAAAAF//31g=")</f>
        <v>#REF!</v>
      </c>
      <c r="CL62" t="e">
        <f>AND(#REF!,"AAAAAF//31k=")</f>
        <v>#REF!</v>
      </c>
      <c r="CM62" t="e">
        <f>IF(#REF!,"AAAAAF//31o=",0)</f>
        <v>#REF!</v>
      </c>
      <c r="CN62" t="e">
        <f>AND(#REF!,"AAAAAF//31s=")</f>
        <v>#REF!</v>
      </c>
      <c r="CO62" t="e">
        <f>AND(#REF!,"AAAAAF//31w=")</f>
        <v>#REF!</v>
      </c>
      <c r="CP62" t="e">
        <f>IF(#REF!,"AAAAAF//310=",0)</f>
        <v>#REF!</v>
      </c>
      <c r="CQ62" t="e">
        <f>AND(#REF!,"AAAAAF//314=")</f>
        <v>#REF!</v>
      </c>
      <c r="CR62" t="e">
        <f>AND(#REF!,"AAAAAF//318=")</f>
        <v>#REF!</v>
      </c>
      <c r="CS62" t="e">
        <f>IF(#REF!,"AAAAAF//32A=",0)</f>
        <v>#REF!</v>
      </c>
      <c r="CT62" t="e">
        <f>IF(#REF!,"AAAAAF//32E=",0)</f>
        <v>#REF!</v>
      </c>
    </row>
    <row r="63" spans="1:256" x14ac:dyDescent="0.35">
      <c r="A63" t="e">
        <f>AND(#REF!,"AAAAAH/89QA=")</f>
        <v>#REF!</v>
      </c>
      <c r="B63" t="e">
        <f>AND(#REF!,"AAAAAH/89QE=")</f>
        <v>#REF!</v>
      </c>
      <c r="C63" t="e">
        <f>AND(#REF!,"AAAAAH/89QI=")</f>
        <v>#REF!</v>
      </c>
      <c r="D63" t="e">
        <f>AND(#REF!,"AAAAAH/89QM=")</f>
        <v>#REF!</v>
      </c>
      <c r="E63" t="e">
        <f>AND(#REF!,"AAAAAH/89QQ=")</f>
        <v>#REF!</v>
      </c>
      <c r="F63" t="e">
        <f>AND(#REF!,"AAAAAH/89QU=")</f>
        <v>#REF!</v>
      </c>
      <c r="G63" t="e">
        <f>AND(#REF!,"AAAAAH/89QY=")</f>
        <v>#REF!</v>
      </c>
      <c r="H63" t="e">
        <f>AND(#REF!,"AAAAAH/89Qc=")</f>
        <v>#REF!</v>
      </c>
      <c r="I63" t="e">
        <f>AND(#REF!,"AAAAAH/89Qg=")</f>
        <v>#REF!</v>
      </c>
      <c r="J63" t="e">
        <f>AND(#REF!,"AAAAAH/89Qk=")</f>
        <v>#REF!</v>
      </c>
      <c r="K63" t="e">
        <f>AND(#REF!,"AAAAAH/89Qo=")</f>
        <v>#REF!</v>
      </c>
      <c r="L63" t="e">
        <f>AND(#REF!,"AAAAAH/89Qs=")</f>
        <v>#REF!</v>
      </c>
      <c r="M63" t="e">
        <f>AND(#REF!,"AAAAAH/89Qw=")</f>
        <v>#REF!</v>
      </c>
      <c r="N63" t="e">
        <f>AND(#REF!,"AAAAAH/89Q0=")</f>
        <v>#REF!</v>
      </c>
      <c r="O63" t="e">
        <f>AND(#REF!,"AAAAAH/89Q4=")</f>
        <v>#REF!</v>
      </c>
      <c r="P63" t="e">
        <f>AND(#REF!,"AAAAAH/89Q8=")</f>
        <v>#REF!</v>
      </c>
      <c r="Q63" t="e">
        <f>AND(#REF!,"AAAAAH/89RA=")</f>
        <v>#REF!</v>
      </c>
      <c r="R63" t="e">
        <f>AND(#REF!,"AAAAAH/89RE=")</f>
        <v>#REF!</v>
      </c>
      <c r="S63" t="e">
        <f>AND(#REF!,"AAAAAH/89RI=")</f>
        <v>#REF!</v>
      </c>
      <c r="T63" t="e">
        <f>AND(#REF!,"AAAAAH/89RM=")</f>
        <v>#REF!</v>
      </c>
      <c r="U63" t="e">
        <f>AND(#REF!,"AAAAAH/89RQ=")</f>
        <v>#REF!</v>
      </c>
      <c r="V63" t="e">
        <f>AND(#REF!,"AAAAAH/89RU=")</f>
        <v>#REF!</v>
      </c>
      <c r="W63" t="e">
        <f>AND(#REF!,"AAAAAH/89RY=")</f>
        <v>#REF!</v>
      </c>
      <c r="X63" t="e">
        <f>AND(#REF!,"AAAAAH/89Rc=")</f>
        <v>#REF!</v>
      </c>
      <c r="Y63" t="e">
        <f>AND(#REF!,"AAAAAH/89Rg=")</f>
        <v>#REF!</v>
      </c>
      <c r="Z63" t="e">
        <f>AND(#REF!,"AAAAAH/89Rk=")</f>
        <v>#REF!</v>
      </c>
      <c r="AA63" t="e">
        <f>AND(#REF!,"AAAAAH/89Ro=")</f>
        <v>#REF!</v>
      </c>
      <c r="AB63" t="e">
        <f>AND(#REF!,"AAAAAH/89Rs=")</f>
        <v>#REF!</v>
      </c>
      <c r="AC63" t="e">
        <f>AND(#REF!,"AAAAAH/89Rw=")</f>
        <v>#REF!</v>
      </c>
      <c r="AD63" t="e">
        <f>AND(#REF!,"AAAAAH/89R0=")</f>
        <v>#REF!</v>
      </c>
      <c r="AE63" t="e">
        <f>AND(#REF!,"AAAAAH/89R4=")</f>
        <v>#REF!</v>
      </c>
      <c r="AF63" t="e">
        <f>AND(#REF!,"AAAAAH/89R8=")</f>
        <v>#REF!</v>
      </c>
      <c r="AG63" t="e">
        <f>AND(#REF!,"AAAAAH/89SA=")</f>
        <v>#REF!</v>
      </c>
      <c r="AH63" t="e">
        <f>AND(#REF!,"AAAAAH/89SE=")</f>
        <v>#REF!</v>
      </c>
      <c r="AI63" t="e">
        <f>AND(#REF!,"AAAAAH/89SI=")</f>
        <v>#REF!</v>
      </c>
      <c r="AJ63" t="e">
        <f>AND(#REF!,"AAAAAH/89SM=")</f>
        <v>#REF!</v>
      </c>
      <c r="AK63" t="e">
        <f>AND(#REF!,"AAAAAH/89SQ=")</f>
        <v>#REF!</v>
      </c>
      <c r="AL63" t="e">
        <f>AND(#REF!,"AAAAAH/89SU=")</f>
        <v>#REF!</v>
      </c>
      <c r="AM63" t="e">
        <f>AND(#REF!,"AAAAAH/89SY=")</f>
        <v>#REF!</v>
      </c>
      <c r="AN63" t="e">
        <f>AND(#REF!,"AAAAAH/89Sc=")</f>
        <v>#REF!</v>
      </c>
      <c r="AO63" t="e">
        <f>AND(#REF!,"AAAAAH/89Sg=")</f>
        <v>#REF!</v>
      </c>
      <c r="AP63" t="e">
        <f>AND(#REF!,"AAAAAH/89Sk=")</f>
        <v>#REF!</v>
      </c>
      <c r="AQ63" t="e">
        <f>AND(#REF!,"AAAAAH/89So=")</f>
        <v>#REF!</v>
      </c>
      <c r="AR63" t="e">
        <f>AND(#REF!,"AAAAAH/89Ss=")</f>
        <v>#REF!</v>
      </c>
      <c r="AS63" t="e">
        <f>AND(#REF!,"AAAAAH/89Sw=")</f>
        <v>#REF!</v>
      </c>
      <c r="AT63" t="e">
        <f>AND(#REF!,"AAAAAH/89S0=")</f>
        <v>#REF!</v>
      </c>
      <c r="AU63" t="e">
        <f>AND(#REF!,"AAAAAH/89S4=")</f>
        <v>#REF!</v>
      </c>
      <c r="AV63" t="e">
        <f>AND(#REF!,"AAAAAH/89S8=")</f>
        <v>#REF!</v>
      </c>
      <c r="AW63" t="e">
        <f>AND(#REF!,"AAAAAH/89TA=")</f>
        <v>#REF!</v>
      </c>
      <c r="AX63" t="e">
        <f>AND(#REF!,"AAAAAH/89TE=")</f>
        <v>#REF!</v>
      </c>
      <c r="AY63" t="e">
        <f>AND(#REF!,"AAAAAH/89TI=")</f>
        <v>#REF!</v>
      </c>
      <c r="AZ63" t="e">
        <f>AND(#REF!,"AAAAAH/89TM=")</f>
        <v>#REF!</v>
      </c>
      <c r="BA63" t="e">
        <f>AND(#REF!,"AAAAAH/89TQ=")</f>
        <v>#REF!</v>
      </c>
      <c r="BB63" t="e">
        <f>AND(#REF!,"AAAAAH/89TU=")</f>
        <v>#REF!</v>
      </c>
      <c r="BC63" t="e">
        <f>AND(#REF!,"AAAAAH/89TY=")</f>
        <v>#REF!</v>
      </c>
      <c r="BD63" t="e">
        <f>AND(#REF!,"AAAAAH/89Tc=")</f>
        <v>#REF!</v>
      </c>
      <c r="BE63" t="e">
        <f>AND(#REF!,"AAAAAH/89Tg=")</f>
        <v>#REF!</v>
      </c>
      <c r="BF63" t="e">
        <f>AND(#REF!,"AAAAAH/89Tk=")</f>
        <v>#REF!</v>
      </c>
      <c r="BG63" t="e">
        <f>AND(#REF!,"AAAAAH/89To=")</f>
        <v>#REF!</v>
      </c>
      <c r="BH63" t="e">
        <f>AND(#REF!,"AAAAAH/89Ts=")</f>
        <v>#REF!</v>
      </c>
      <c r="BI63" t="e">
        <f>AND(#REF!,"AAAAAH/89Tw=")</f>
        <v>#REF!</v>
      </c>
      <c r="BJ63" t="e">
        <f>AND(#REF!,"AAAAAH/89T0=")</f>
        <v>#REF!</v>
      </c>
      <c r="BK63" t="e">
        <f>AND(#REF!,"AAAAAH/89T4=")</f>
        <v>#REF!</v>
      </c>
      <c r="BL63" t="e">
        <f>AND(#REF!,"AAAAAH/89T8=")</f>
        <v>#REF!</v>
      </c>
      <c r="BM63" t="e">
        <f>IF(#REF!,"AAAAAH/89UA=",0)</f>
        <v>#REF!</v>
      </c>
      <c r="BN63" t="e">
        <f>IF(#REF!,"AAAAAH/89UE=",0)</f>
        <v>#REF!</v>
      </c>
    </row>
    <row r="64" spans="1:256" x14ac:dyDescent="0.35">
      <c r="A64" t="e">
        <f>AND(Examenes!#REF!,"AAAAAH+23gA=")</f>
        <v>#REF!</v>
      </c>
      <c r="B64" t="e">
        <f>AND(Examenes!#REF!,"AAAAAH+23gE=")</f>
        <v>#REF!</v>
      </c>
      <c r="C64" t="e">
        <f>AND(Examenes!#REF!,"AAAAAH+23gI=")</f>
        <v>#REF!</v>
      </c>
      <c r="D64" t="e">
        <f>AND(Examenes!#REF!,"AAAAAH+23gM=")</f>
        <v>#REF!</v>
      </c>
      <c r="E64" t="e">
        <f>AND(Examenes!#REF!,"AAAAAH+23gQ=")</f>
        <v>#REF!</v>
      </c>
      <c r="F64" t="e">
        <f>AND(Examenes!#REF!,"AAAAAH+23gU=")</f>
        <v>#REF!</v>
      </c>
      <c r="G64" t="e">
        <f>AND(Examenes!#REF!,"AAAAAH+23gY=")</f>
        <v>#REF!</v>
      </c>
      <c r="H64" t="e">
        <f>AND(Examenes!#REF!,"AAAAAH+23gc=")</f>
        <v>#REF!</v>
      </c>
      <c r="I64" t="e">
        <f>AND(Examenes!#REF!,"AAAAAH+23gg=")</f>
        <v>#REF!</v>
      </c>
      <c r="J64" t="e">
        <f>AND(Examenes!#REF!,"AAAAAH+23gk=")</f>
        <v>#REF!</v>
      </c>
      <c r="K64" t="e">
        <f>AND(Examenes!#REF!,"AAAAAH+23go=")</f>
        <v>#REF!</v>
      </c>
      <c r="L64" t="e">
        <f>AND(Examenes!#REF!,"AAAAAH+23gs=")</f>
        <v>#REF!</v>
      </c>
      <c r="M64" t="e">
        <f>AND(Examenes!#REF!,"AAAAAH+23gw=")</f>
        <v>#REF!</v>
      </c>
      <c r="N64" t="e">
        <f>AND(Examenes!#REF!,"AAAAAH+23g0=")</f>
        <v>#REF!</v>
      </c>
      <c r="O64" t="e">
        <f>AND(Examenes!#REF!,"AAAAAH+23g4=")</f>
        <v>#REF!</v>
      </c>
      <c r="P64" t="e">
        <f>AND(Examenes!#REF!,"AAAAAH+23g8=")</f>
        <v>#REF!</v>
      </c>
      <c r="Q64" t="e">
        <f>AND(Examenes!#REF!,"AAAAAH+23hA=")</f>
        <v>#REF!</v>
      </c>
      <c r="R64" t="e">
        <f>AND(Examenes!#REF!,"AAAAAH+23hE=")</f>
        <v>#REF!</v>
      </c>
      <c r="S64" t="e">
        <f>AND(Examenes!#REF!,"AAAAAH+23hI=")</f>
        <v>#REF!</v>
      </c>
      <c r="T64" t="e">
        <f>AND(Examenes!#REF!,"AAAAAH+23hM=")</f>
        <v>#REF!</v>
      </c>
      <c r="U64" t="e">
        <f>AND(Examenes!#REF!,"AAAAAH+23hQ=")</f>
        <v>#REF!</v>
      </c>
      <c r="V64" t="e">
        <f>AND(Examenes!#REF!,"AAAAAH+23hU=")</f>
        <v>#REF!</v>
      </c>
      <c r="W64" t="e">
        <f>AND(Examenes!#REF!,"AAAAAH+23hY=")</f>
        <v>#REF!</v>
      </c>
      <c r="X64" t="e">
        <f>AND(Examenes!#REF!,"AAAAAH+23hc=")</f>
        <v>#REF!</v>
      </c>
      <c r="Y64" t="e">
        <f>AND(Examenes!#REF!,"AAAAAH+23hg=")</f>
        <v>#REF!</v>
      </c>
      <c r="Z64" t="e">
        <f>AND(Examenes!#REF!,"AAAAAH+23hk=")</f>
        <v>#REF!</v>
      </c>
      <c r="AA64" t="e">
        <f>AND(Examenes!#REF!,"AAAAAH+23ho=")</f>
        <v>#REF!</v>
      </c>
      <c r="AB64" t="e">
        <f>AND(Examenes!#REF!,"AAAAAH+23hs=")</f>
        <v>#REF!</v>
      </c>
      <c r="AC64" t="e">
        <f>AND(Examenes!#REF!,"AAAAAH+23hw=")</f>
        <v>#REF!</v>
      </c>
      <c r="AD64" t="e">
        <f>AND(Examenes!#REF!,"AAAAAH+23h0=")</f>
        <v>#REF!</v>
      </c>
      <c r="AE64" t="e">
        <f>AND(Examenes!#REF!,"AAAAAH+23h4=")</f>
        <v>#REF!</v>
      </c>
      <c r="AF64" t="e">
        <f>AND(Examenes!#REF!,"AAAAAH+23h8=")</f>
        <v>#REF!</v>
      </c>
      <c r="AG64" t="e">
        <f>AND(Examenes!#REF!,"AAAAAH+23iA=")</f>
        <v>#REF!</v>
      </c>
      <c r="AH64" t="e">
        <f>AND(Examenes!#REF!,"AAAAAH+23iE=")</f>
        <v>#REF!</v>
      </c>
      <c r="AI64" t="e">
        <f>AND(Examenes!#REF!,"AAAAAH+23iI=")</f>
        <v>#REF!</v>
      </c>
      <c r="AJ64" t="e">
        <f>AND(Examenes!#REF!,"AAAAAH+23iM=")</f>
        <v>#REF!</v>
      </c>
      <c r="AK64" t="e">
        <f>AND(Examenes!#REF!,"AAAAAH+23iQ=")</f>
        <v>#REF!</v>
      </c>
      <c r="AL64" t="e">
        <f>AND(Examenes!#REF!,"AAAAAH+23iU=")</f>
        <v>#REF!</v>
      </c>
      <c r="AM64" t="e">
        <f>AND(Examenes!#REF!,"AAAAAH+23iY=")</f>
        <v>#REF!</v>
      </c>
      <c r="AN64" t="e">
        <f>AND(Examenes!#REF!,"AAAAAH+23ic=")</f>
        <v>#REF!</v>
      </c>
      <c r="AO64" t="e">
        <f>AND(Examenes!#REF!,"AAAAAH+23ig=")</f>
        <v>#REF!</v>
      </c>
      <c r="AP64" t="e">
        <f>AND(Examenes!#REF!,"AAAAAH+23ik=")</f>
        <v>#REF!</v>
      </c>
      <c r="AQ64" t="e">
        <f>AND(Examenes!#REF!,"AAAAAH+23io=")</f>
        <v>#REF!</v>
      </c>
      <c r="AR64" t="e">
        <f>IF(Examenes!#REF!,"AAAAAH+23is=",0)</f>
        <v>#REF!</v>
      </c>
    </row>
    <row r="65" spans="1:256" x14ac:dyDescent="0.35">
      <c r="A65" t="e">
        <f>AND(Examenes!E32,"AAAAAHA3uQA=")</f>
        <v>#VALUE!</v>
      </c>
      <c r="B65" t="e">
        <f>AND(Examenes!#REF!,"AAAAAHA3uQE=")</f>
        <v>#REF!</v>
      </c>
      <c r="C65" t="e">
        <f>AND(Examenes!#REF!,"AAAAAHA3uQI=")</f>
        <v>#REF!</v>
      </c>
      <c r="D65" t="e">
        <f>AND(Examenes!#REF!,"AAAAAHA3uQM=")</f>
        <v>#REF!</v>
      </c>
      <c r="E65" t="e">
        <f>AND(Examenes!#REF!,"AAAAAHA3uQQ=")</f>
        <v>#REF!</v>
      </c>
      <c r="F65" t="e">
        <f>AND(Examenes!E37,"AAAAAHA3uQU=")</f>
        <v>#VALUE!</v>
      </c>
      <c r="G65" t="e">
        <f>AND(Examenes!#REF!,"AAAAAHA3uQY=")</f>
        <v>#REF!</v>
      </c>
      <c r="H65" t="e">
        <f>AND(Examenes!#REF!,"AAAAAHA3uQc=")</f>
        <v>#REF!</v>
      </c>
      <c r="I65" t="e">
        <f>AND(Examenes!#REF!,"AAAAAHA3uQg=")</f>
        <v>#REF!</v>
      </c>
      <c r="J65" t="e">
        <f>AND(Examenes!#REF!,"AAAAAHA3uQk=")</f>
        <v>#REF!</v>
      </c>
      <c r="K65">
        <f>IF(Examenes!38:38,"AAAAAHA3uQo=",0)</f>
        <v>0</v>
      </c>
      <c r="L65" t="e">
        <f>AND(Examenes!A38,"AAAAAHA3uQs=")</f>
        <v>#VALUE!</v>
      </c>
      <c r="M65" t="e">
        <f>AND(Examenes!#REF!,"AAAAAHA3uQw=")</f>
        <v>#REF!</v>
      </c>
      <c r="N65" t="e">
        <f>AND(Examenes!B38,"AAAAAHA3uQ0=")</f>
        <v>#VALUE!</v>
      </c>
      <c r="O65" t="e">
        <f>AND(Examenes!#REF!,"AAAAAHA3uQ4=")</f>
        <v>#REF!</v>
      </c>
      <c r="P65" t="e">
        <f>AND(Examenes!#REF!,"AAAAAHA3uQ8=")</f>
        <v>#REF!</v>
      </c>
      <c r="Q65" t="e">
        <f>AND(Examenes!C38,"AAAAAHA3uRA=")</f>
        <v>#VALUE!</v>
      </c>
      <c r="R65" t="e">
        <f>AND(Examenes!#REF!,"AAAAAHA3uRE=")</f>
        <v>#REF!</v>
      </c>
      <c r="S65" t="e">
        <f>AND(Examenes!#REF!,"AAAAAHA3uRI=")</f>
        <v>#REF!</v>
      </c>
      <c r="T65" t="e">
        <f>AND(Examenes!#REF!,"AAAAAHA3uRM=")</f>
        <v>#REF!</v>
      </c>
      <c r="U65" t="e">
        <f>AND(Examenes!D38,"AAAAAHA3uRQ=")</f>
        <v>#VALUE!</v>
      </c>
      <c r="V65" t="e">
        <f>AND(Examenes!#REF!,"AAAAAHA3uRU=")</f>
        <v>#REF!</v>
      </c>
      <c r="W65" t="e">
        <f>AND(Examenes!E38,"AAAAAHA3uRY=")</f>
        <v>#VALUE!</v>
      </c>
      <c r="X65" t="e">
        <f>IF(Examenes!#REF!,"AAAAAHA3uRc=",0)</f>
        <v>#REF!</v>
      </c>
      <c r="Y65" t="e">
        <f>AND(Examenes!#REF!,"AAAAAHA3uRg=")</f>
        <v>#REF!</v>
      </c>
      <c r="Z65" t="e">
        <f>AND(Examenes!#REF!,"AAAAAHA3uRk=")</f>
        <v>#REF!</v>
      </c>
      <c r="AA65" t="e">
        <f>AND(Examenes!#REF!,"AAAAAHA3uRo=")</f>
        <v>#REF!</v>
      </c>
      <c r="AB65" t="e">
        <f>AND(Examenes!#REF!,"AAAAAHA3uRs=")</f>
        <v>#REF!</v>
      </c>
      <c r="AC65" t="e">
        <f>AND(Examenes!#REF!,"AAAAAHA3uRw=")</f>
        <v>#REF!</v>
      </c>
      <c r="AD65" t="e">
        <f>AND(Examenes!#REF!,"AAAAAHA3uR0=")</f>
        <v>#REF!</v>
      </c>
      <c r="AE65" t="e">
        <f>AND(Examenes!#REF!,"AAAAAHA3uR4=")</f>
        <v>#REF!</v>
      </c>
      <c r="AF65" t="e">
        <f>AND(Examenes!#REF!,"AAAAAHA3uR8=")</f>
        <v>#REF!</v>
      </c>
      <c r="AG65" t="e">
        <f>AND(Examenes!#REF!,"AAAAAHA3uSA=")</f>
        <v>#REF!</v>
      </c>
      <c r="AH65" t="e">
        <f>AND(Examenes!#REF!,"AAAAAHA3uSE=")</f>
        <v>#REF!</v>
      </c>
      <c r="AI65" t="e">
        <f>AND(Examenes!#REF!,"AAAAAHA3uSI=")</f>
        <v>#REF!</v>
      </c>
      <c r="AJ65" t="e">
        <f>AND(Examenes!#REF!,"AAAAAHA3uSM=")</f>
        <v>#REF!</v>
      </c>
      <c r="AK65" t="e">
        <f>IF(Examenes!#REF!,"AAAAAHA3uSQ=",0)</f>
        <v>#REF!</v>
      </c>
      <c r="AL65" t="e">
        <f>AND(Examenes!#REF!,"AAAAAHA3uSU=")</f>
        <v>#REF!</v>
      </c>
      <c r="AM65" t="e">
        <f>AND(Examenes!#REF!,"AAAAAHA3uSY=")</f>
        <v>#REF!</v>
      </c>
      <c r="AN65" t="e">
        <f>AND(Examenes!#REF!,"AAAAAHA3uSc=")</f>
        <v>#REF!</v>
      </c>
      <c r="AO65" t="e">
        <f>AND(Examenes!#REF!,"AAAAAHA3uSg=")</f>
        <v>#REF!</v>
      </c>
      <c r="AP65" t="e">
        <f>AND(Examenes!#REF!,"AAAAAHA3uSk=")</f>
        <v>#REF!</v>
      </c>
      <c r="AQ65" t="e">
        <f>AND(Examenes!#REF!,"AAAAAHA3uSo=")</f>
        <v>#REF!</v>
      </c>
      <c r="AR65" t="e">
        <f>AND(Examenes!#REF!,"AAAAAHA3uSs=")</f>
        <v>#REF!</v>
      </c>
      <c r="AS65" t="e">
        <f>AND(Examenes!#REF!,"AAAAAHA3uSw=")</f>
        <v>#REF!</v>
      </c>
      <c r="AT65" t="e">
        <f>AND(Examenes!#REF!,"AAAAAHA3uS0=")</f>
        <v>#REF!</v>
      </c>
      <c r="AU65" t="e">
        <f>AND(Examenes!#REF!,"AAAAAHA3uS4=")</f>
        <v>#REF!</v>
      </c>
      <c r="AV65" t="e">
        <f>AND(Examenes!#REF!,"AAAAAHA3uS8=")</f>
        <v>#REF!</v>
      </c>
      <c r="AW65" t="e">
        <f>AND(Examenes!#REF!,"AAAAAHA3uTA=")</f>
        <v>#REF!</v>
      </c>
      <c r="AX65" t="e">
        <f>IF(Examenes!#REF!,"AAAAAHA3uTE=",0)</f>
        <v>#REF!</v>
      </c>
      <c r="AY65" t="e">
        <f>AND(Examenes!#REF!,"AAAAAHA3uTI=")</f>
        <v>#REF!</v>
      </c>
      <c r="AZ65" t="e">
        <f>AND(Examenes!#REF!,"AAAAAHA3uTM=")</f>
        <v>#REF!</v>
      </c>
      <c r="BA65" t="e">
        <f>AND(Examenes!#REF!,"AAAAAHA3uTQ=")</f>
        <v>#REF!</v>
      </c>
      <c r="BB65" t="e">
        <f>AND(Examenes!#REF!,"AAAAAHA3uTU=")</f>
        <v>#REF!</v>
      </c>
      <c r="BC65" t="e">
        <f>AND(Examenes!#REF!,"AAAAAHA3uTY=")</f>
        <v>#REF!</v>
      </c>
      <c r="BD65" t="e">
        <f>AND(Examenes!#REF!,"AAAAAHA3uTc=")</f>
        <v>#REF!</v>
      </c>
      <c r="BE65" t="e">
        <f>AND(Examenes!#REF!,"AAAAAHA3uTg=")</f>
        <v>#REF!</v>
      </c>
      <c r="BF65" t="e">
        <f>AND(Examenes!#REF!,"AAAAAHA3uTk=")</f>
        <v>#REF!</v>
      </c>
      <c r="BG65" t="e">
        <f>AND(Examenes!#REF!,"AAAAAHA3uTo=")</f>
        <v>#REF!</v>
      </c>
      <c r="BH65" t="e">
        <f>AND(Examenes!#REF!,"AAAAAHA3uTs=")</f>
        <v>#REF!</v>
      </c>
      <c r="BI65" t="e">
        <f>AND(Examenes!#REF!,"AAAAAHA3uTw=")</f>
        <v>#REF!</v>
      </c>
      <c r="BJ65" t="e">
        <f>AND(Examenes!#REF!,"AAAAAHA3uT0=")</f>
        <v>#REF!</v>
      </c>
      <c r="BK65" t="e">
        <f>IF(Examenes!#REF!,"AAAAAHA3uT4=",0)</f>
        <v>#REF!</v>
      </c>
      <c r="BL65" t="e">
        <f>AND(Examenes!#REF!,"AAAAAHA3uT8=")</f>
        <v>#REF!</v>
      </c>
      <c r="BM65" t="e">
        <f>AND(Examenes!#REF!,"AAAAAHA3uUA=")</f>
        <v>#REF!</v>
      </c>
      <c r="BN65" t="e">
        <f>AND(Examenes!#REF!,"AAAAAHA3uUE=")</f>
        <v>#REF!</v>
      </c>
      <c r="BO65" t="e">
        <f>AND(Examenes!#REF!,"AAAAAHA3uUI=")</f>
        <v>#REF!</v>
      </c>
      <c r="BP65" t="e">
        <f>AND(Examenes!#REF!,"AAAAAHA3uUM=")</f>
        <v>#REF!</v>
      </c>
      <c r="BQ65" t="e">
        <f>AND(Examenes!#REF!,"AAAAAHA3uUQ=")</f>
        <v>#REF!</v>
      </c>
      <c r="BR65" t="e">
        <f>AND(Examenes!#REF!,"AAAAAHA3uUU=")</f>
        <v>#REF!</v>
      </c>
      <c r="BS65" t="e">
        <f>AND(Examenes!#REF!,"AAAAAHA3uUY=")</f>
        <v>#REF!</v>
      </c>
      <c r="BT65" t="e">
        <f>AND(Examenes!#REF!,"AAAAAHA3uUc=")</f>
        <v>#REF!</v>
      </c>
      <c r="BU65" t="e">
        <f>AND(Examenes!#REF!,"AAAAAHA3uUg=")</f>
        <v>#REF!</v>
      </c>
      <c r="BV65" t="e">
        <f>AND(Examenes!#REF!,"AAAAAHA3uUk=")</f>
        <v>#REF!</v>
      </c>
      <c r="BW65" t="e">
        <f>AND(Examenes!#REF!,"AAAAAHA3uUo=")</f>
        <v>#REF!</v>
      </c>
      <c r="BX65" t="e">
        <f>IF(Examenes!#REF!,"AAAAAHA3uUs=",0)</f>
        <v>#REF!</v>
      </c>
      <c r="BY65" t="e">
        <f>AND(Examenes!#REF!,"AAAAAHA3uUw=")</f>
        <v>#REF!</v>
      </c>
      <c r="BZ65" t="e">
        <f>AND(Examenes!#REF!,"AAAAAHA3uU0=")</f>
        <v>#REF!</v>
      </c>
      <c r="CA65" t="e">
        <f>AND(Examenes!#REF!,"AAAAAHA3uU4=")</f>
        <v>#REF!</v>
      </c>
      <c r="CB65" t="e">
        <f>AND(Examenes!#REF!,"AAAAAHA3uU8=")</f>
        <v>#REF!</v>
      </c>
      <c r="CC65" t="e">
        <f>AND(Examenes!#REF!,"AAAAAHA3uVA=")</f>
        <v>#REF!</v>
      </c>
      <c r="CD65" t="e">
        <f>AND(Examenes!#REF!,"AAAAAHA3uVE=")</f>
        <v>#REF!</v>
      </c>
      <c r="CE65" t="e">
        <f>AND(Examenes!#REF!,"AAAAAHA3uVI=")</f>
        <v>#REF!</v>
      </c>
      <c r="CF65" t="e">
        <f>AND(Examenes!#REF!,"AAAAAHA3uVM=")</f>
        <v>#REF!</v>
      </c>
      <c r="CG65" t="e">
        <f>AND(Examenes!#REF!,"AAAAAHA3uVQ=")</f>
        <v>#REF!</v>
      </c>
      <c r="CH65" t="e">
        <f>AND(Examenes!#REF!,"AAAAAHA3uVU=")</f>
        <v>#REF!</v>
      </c>
      <c r="CI65" t="e">
        <f>AND(Examenes!#REF!,"AAAAAHA3uVY=")</f>
        <v>#REF!</v>
      </c>
      <c r="CJ65" t="e">
        <f>AND(Examenes!#REF!,"AAAAAHA3uVc=")</f>
        <v>#REF!</v>
      </c>
      <c r="CK65" t="e">
        <f>IF(Examenes!#REF!,"AAAAAHA3uVg=",0)</f>
        <v>#REF!</v>
      </c>
      <c r="CL65" t="e">
        <f>AND(Examenes!#REF!,"AAAAAHA3uVk=")</f>
        <v>#REF!</v>
      </c>
      <c r="CM65" t="e">
        <f>AND(Examenes!#REF!,"AAAAAHA3uVo=")</f>
        <v>#REF!</v>
      </c>
      <c r="CN65" t="e">
        <f>AND(Examenes!#REF!,"AAAAAHA3uVs=")</f>
        <v>#REF!</v>
      </c>
      <c r="CO65" t="e">
        <f>AND(Examenes!#REF!,"AAAAAHA3uVw=")</f>
        <v>#REF!</v>
      </c>
      <c r="CP65" t="e">
        <f>AND(Examenes!#REF!,"AAAAAHA3uV0=")</f>
        <v>#REF!</v>
      </c>
      <c r="CQ65" t="e">
        <f>AND(Examenes!#REF!,"AAAAAHA3uV4=")</f>
        <v>#REF!</v>
      </c>
      <c r="CR65" t="e">
        <f>AND(Examenes!#REF!,"AAAAAHA3uV8=")</f>
        <v>#REF!</v>
      </c>
      <c r="CS65" t="e">
        <f>AND(Examenes!#REF!,"AAAAAHA3uWA=")</f>
        <v>#REF!</v>
      </c>
      <c r="CT65" t="e">
        <f>AND(Examenes!#REF!,"AAAAAHA3uWE=")</f>
        <v>#REF!</v>
      </c>
      <c r="CU65" t="e">
        <f>AND(Examenes!#REF!,"AAAAAHA3uWI=")</f>
        <v>#REF!</v>
      </c>
      <c r="CV65" t="e">
        <f>AND(Examenes!#REF!,"AAAAAHA3uWM=")</f>
        <v>#REF!</v>
      </c>
      <c r="CW65" t="e">
        <f>AND(Examenes!#REF!,"AAAAAHA3uWQ=")</f>
        <v>#REF!</v>
      </c>
      <c r="CX65" t="e">
        <f>IF(Examenes!#REF!,"AAAAAHA3uWU=",0)</f>
        <v>#REF!</v>
      </c>
      <c r="CY65" t="e">
        <f>AND(Examenes!#REF!,"AAAAAHA3uWY=")</f>
        <v>#REF!</v>
      </c>
      <c r="CZ65" t="e">
        <f>AND(Examenes!#REF!,"AAAAAHA3uWc=")</f>
        <v>#REF!</v>
      </c>
      <c r="DA65" t="e">
        <f>AND(Examenes!#REF!,"AAAAAHA3uWg=")</f>
        <v>#REF!</v>
      </c>
      <c r="DB65" t="e">
        <f>AND(Examenes!#REF!,"AAAAAHA3uWk=")</f>
        <v>#REF!</v>
      </c>
      <c r="DC65" t="e">
        <f>AND(Examenes!#REF!,"AAAAAHA3uWo=")</f>
        <v>#REF!</v>
      </c>
      <c r="DD65" t="e">
        <f>AND(Examenes!#REF!,"AAAAAHA3uWs=")</f>
        <v>#REF!</v>
      </c>
      <c r="DE65" t="e">
        <f>AND(Examenes!#REF!,"AAAAAHA3uWw=")</f>
        <v>#REF!</v>
      </c>
      <c r="DF65" t="e">
        <f>AND(Examenes!#REF!,"AAAAAHA3uW0=")</f>
        <v>#REF!</v>
      </c>
      <c r="DG65" t="e">
        <f>AND(Examenes!#REF!,"AAAAAHA3uW4=")</f>
        <v>#REF!</v>
      </c>
      <c r="DH65" t="e">
        <f>AND(Examenes!#REF!,"AAAAAHA3uW8=")</f>
        <v>#REF!</v>
      </c>
      <c r="DI65" t="e">
        <f>AND(Examenes!#REF!,"AAAAAHA3uXA=")</f>
        <v>#REF!</v>
      </c>
      <c r="DJ65" t="e">
        <f>AND(Examenes!#REF!,"AAAAAHA3uXE=")</f>
        <v>#REF!</v>
      </c>
      <c r="DK65" t="e">
        <f>IF(Examenes!#REF!,"AAAAAHA3uXI=",0)</f>
        <v>#REF!</v>
      </c>
      <c r="DL65" t="e">
        <f>AND(Examenes!#REF!,"AAAAAHA3uXM=")</f>
        <v>#REF!</v>
      </c>
      <c r="DM65" t="e">
        <f>AND(Examenes!#REF!,"AAAAAHA3uXQ=")</f>
        <v>#REF!</v>
      </c>
      <c r="DN65" t="e">
        <f>AND(Examenes!#REF!,"AAAAAHA3uXU=")</f>
        <v>#REF!</v>
      </c>
      <c r="DO65" t="e">
        <f>AND(Examenes!#REF!,"AAAAAHA3uXY=")</f>
        <v>#REF!</v>
      </c>
      <c r="DP65" t="e">
        <f>AND(Examenes!#REF!,"AAAAAHA3uXc=")</f>
        <v>#REF!</v>
      </c>
      <c r="DQ65" t="e">
        <f>AND(Examenes!#REF!,"AAAAAHA3uXg=")</f>
        <v>#REF!</v>
      </c>
      <c r="DR65" t="e">
        <f>AND(Examenes!#REF!,"AAAAAHA3uXk=")</f>
        <v>#REF!</v>
      </c>
      <c r="DS65" t="e">
        <f>AND(Examenes!#REF!,"AAAAAHA3uXo=")</f>
        <v>#REF!</v>
      </c>
      <c r="DT65" t="e">
        <f>AND(Examenes!#REF!,"AAAAAHA3uXs=")</f>
        <v>#REF!</v>
      </c>
      <c r="DU65" t="e">
        <f>AND(Examenes!#REF!,"AAAAAHA3uXw=")</f>
        <v>#REF!</v>
      </c>
      <c r="DV65" t="e">
        <f>AND(Examenes!#REF!,"AAAAAHA3uX0=")</f>
        <v>#REF!</v>
      </c>
      <c r="DW65" t="e">
        <f>AND(Examenes!#REF!,"AAAAAHA3uX4=")</f>
        <v>#REF!</v>
      </c>
      <c r="DX65" t="e">
        <f>IF(Examenes!#REF!,"AAAAAHA3uX8=",0)</f>
        <v>#REF!</v>
      </c>
      <c r="DY65" t="e">
        <f>AND(Examenes!#REF!,"AAAAAHA3uYA=")</f>
        <v>#REF!</v>
      </c>
      <c r="DZ65" t="e">
        <f>AND(Examenes!#REF!,"AAAAAHA3uYE=")</f>
        <v>#REF!</v>
      </c>
      <c r="EA65" t="e">
        <f>AND(Examenes!#REF!,"AAAAAHA3uYI=")</f>
        <v>#REF!</v>
      </c>
      <c r="EB65" t="e">
        <f>AND(Examenes!#REF!,"AAAAAHA3uYM=")</f>
        <v>#REF!</v>
      </c>
      <c r="EC65" t="e">
        <f>AND(Examenes!#REF!,"AAAAAHA3uYQ=")</f>
        <v>#REF!</v>
      </c>
      <c r="ED65" t="e">
        <f>AND(Examenes!#REF!,"AAAAAHA3uYU=")</f>
        <v>#REF!</v>
      </c>
      <c r="EE65" t="e">
        <f>AND(Examenes!#REF!,"AAAAAHA3uYY=")</f>
        <v>#REF!</v>
      </c>
      <c r="EF65" t="e">
        <f>AND(Examenes!#REF!,"AAAAAHA3uYc=")</f>
        <v>#REF!</v>
      </c>
      <c r="EG65" t="e">
        <f>AND(Examenes!#REF!,"AAAAAHA3uYg=")</f>
        <v>#REF!</v>
      </c>
      <c r="EH65" t="e">
        <f>AND(Examenes!#REF!,"AAAAAHA3uYk=")</f>
        <v>#REF!</v>
      </c>
      <c r="EI65" t="e">
        <f>AND(Examenes!#REF!,"AAAAAHA3uYo=")</f>
        <v>#REF!</v>
      </c>
      <c r="EJ65" t="e">
        <f>AND(Examenes!#REF!,"AAAAAHA3uYs=")</f>
        <v>#REF!</v>
      </c>
      <c r="EK65" t="e">
        <f>IF(Examenes!#REF!,"AAAAAHA3uYw=",0)</f>
        <v>#REF!</v>
      </c>
      <c r="EL65" t="e">
        <f>AND(Examenes!#REF!,"AAAAAHA3uY0=")</f>
        <v>#REF!</v>
      </c>
      <c r="EM65" t="e">
        <f>AND(Examenes!#REF!,"AAAAAHA3uY4=")</f>
        <v>#REF!</v>
      </c>
      <c r="EN65" t="e">
        <f>AND(Examenes!#REF!,"AAAAAHA3uY8=")</f>
        <v>#REF!</v>
      </c>
      <c r="EO65" t="e">
        <f>AND(Examenes!#REF!,"AAAAAHA3uZA=")</f>
        <v>#REF!</v>
      </c>
      <c r="EP65" t="e">
        <f>AND(Examenes!#REF!,"AAAAAHA3uZE=")</f>
        <v>#REF!</v>
      </c>
      <c r="EQ65" t="e">
        <f>AND(Examenes!#REF!,"AAAAAHA3uZI=")</f>
        <v>#REF!</v>
      </c>
      <c r="ER65" t="e">
        <f>AND(Examenes!#REF!,"AAAAAHA3uZM=")</f>
        <v>#REF!</v>
      </c>
      <c r="ES65" t="e">
        <f>AND(Examenes!#REF!,"AAAAAHA3uZQ=")</f>
        <v>#REF!</v>
      </c>
      <c r="ET65" t="e">
        <f>AND(Examenes!#REF!,"AAAAAHA3uZU=")</f>
        <v>#REF!</v>
      </c>
      <c r="EU65" t="e">
        <f>AND(Examenes!#REF!,"AAAAAHA3uZY=")</f>
        <v>#REF!</v>
      </c>
      <c r="EV65" t="e">
        <f>AND(Examenes!#REF!,"AAAAAHA3uZc=")</f>
        <v>#REF!</v>
      </c>
      <c r="EW65" t="e">
        <f>AND(Examenes!#REF!,"AAAAAHA3uZg=")</f>
        <v>#REF!</v>
      </c>
      <c r="EX65" t="e">
        <f>IF(Examenes!#REF!,"AAAAAHA3uZk=",0)</f>
        <v>#REF!</v>
      </c>
      <c r="EY65" t="e">
        <f>AND(Examenes!#REF!,"AAAAAHA3uZo=")</f>
        <v>#REF!</v>
      </c>
      <c r="EZ65" t="e">
        <f>AND(Examenes!#REF!,"AAAAAHA3uZs=")</f>
        <v>#REF!</v>
      </c>
      <c r="FA65" t="e">
        <f>AND(Examenes!#REF!,"AAAAAHA3uZw=")</f>
        <v>#REF!</v>
      </c>
      <c r="FB65" t="e">
        <f>AND(Examenes!#REF!,"AAAAAHA3uZ0=")</f>
        <v>#REF!</v>
      </c>
      <c r="FC65" t="e">
        <f>AND(Examenes!#REF!,"AAAAAHA3uZ4=")</f>
        <v>#REF!</v>
      </c>
      <c r="FD65" t="e">
        <f>AND(Examenes!#REF!,"AAAAAHA3uZ8=")</f>
        <v>#REF!</v>
      </c>
      <c r="FE65" t="e">
        <f>AND(Examenes!#REF!,"AAAAAHA3uaA=")</f>
        <v>#REF!</v>
      </c>
      <c r="FF65" t="e">
        <f>AND(Examenes!#REF!,"AAAAAHA3uaE=")</f>
        <v>#REF!</v>
      </c>
      <c r="FG65" t="e">
        <f>AND(Examenes!#REF!,"AAAAAHA3uaI=")</f>
        <v>#REF!</v>
      </c>
      <c r="FH65" t="e">
        <f>AND(Examenes!#REF!,"AAAAAHA3uaM=")</f>
        <v>#REF!</v>
      </c>
      <c r="FI65" t="e">
        <f>AND(Examenes!#REF!,"AAAAAHA3uaQ=")</f>
        <v>#REF!</v>
      </c>
      <c r="FJ65" t="e">
        <f>AND(Examenes!#REF!,"AAAAAHA3uaU=")</f>
        <v>#REF!</v>
      </c>
      <c r="FK65" t="e">
        <f>IF(Examenes!#REF!,"AAAAAHA3uaY=",0)</f>
        <v>#REF!</v>
      </c>
      <c r="FL65" t="e">
        <f>AND(Examenes!#REF!,"AAAAAHA3uac=")</f>
        <v>#REF!</v>
      </c>
      <c r="FM65" t="e">
        <f>AND(Examenes!#REF!,"AAAAAHA3uag=")</f>
        <v>#REF!</v>
      </c>
      <c r="FN65" t="e">
        <f>AND(Examenes!#REF!,"AAAAAHA3uak=")</f>
        <v>#REF!</v>
      </c>
      <c r="FO65" t="e">
        <f>AND(Examenes!#REF!,"AAAAAHA3uao=")</f>
        <v>#REF!</v>
      </c>
      <c r="FP65" t="e">
        <f>AND(Examenes!#REF!,"AAAAAHA3uas=")</f>
        <v>#REF!</v>
      </c>
      <c r="FQ65" t="e">
        <f>AND(Examenes!#REF!,"AAAAAHA3uaw=")</f>
        <v>#REF!</v>
      </c>
      <c r="FR65" t="e">
        <f>AND(Examenes!#REF!,"AAAAAHA3ua0=")</f>
        <v>#REF!</v>
      </c>
      <c r="FS65" t="e">
        <f>AND(Examenes!#REF!,"AAAAAHA3ua4=")</f>
        <v>#REF!</v>
      </c>
      <c r="FT65" t="e">
        <f>AND(Examenes!#REF!,"AAAAAHA3ua8=")</f>
        <v>#REF!</v>
      </c>
      <c r="FU65" t="e">
        <f>AND(Examenes!#REF!,"AAAAAHA3ubA=")</f>
        <v>#REF!</v>
      </c>
      <c r="FV65" t="e">
        <f>AND(Examenes!#REF!,"AAAAAHA3ubE=")</f>
        <v>#REF!</v>
      </c>
      <c r="FW65" t="e">
        <f>AND(Examenes!#REF!,"AAAAAHA3ubI=")</f>
        <v>#REF!</v>
      </c>
      <c r="FX65" t="e">
        <f>IF(Examenes!#REF!,"AAAAAHA3ubM=",0)</f>
        <v>#REF!</v>
      </c>
      <c r="FY65" t="e">
        <f>AND(Examenes!#REF!,"AAAAAHA3ubQ=")</f>
        <v>#REF!</v>
      </c>
      <c r="FZ65" t="e">
        <f>AND(Examenes!#REF!,"AAAAAHA3ubU=")</f>
        <v>#REF!</v>
      </c>
      <c r="GA65" t="e">
        <f>AND(Examenes!#REF!,"AAAAAHA3ubY=")</f>
        <v>#REF!</v>
      </c>
      <c r="GB65" t="e">
        <f>AND(Examenes!#REF!,"AAAAAHA3ubc=")</f>
        <v>#REF!</v>
      </c>
      <c r="GC65" t="e">
        <f>AND(Examenes!#REF!,"AAAAAHA3ubg=")</f>
        <v>#REF!</v>
      </c>
      <c r="GD65" t="e">
        <f>AND(Examenes!#REF!,"AAAAAHA3ubk=")</f>
        <v>#REF!</v>
      </c>
      <c r="GE65" t="e">
        <f>AND(Examenes!#REF!,"AAAAAHA3ubo=")</f>
        <v>#REF!</v>
      </c>
      <c r="GF65" t="e">
        <f>AND(Examenes!#REF!,"AAAAAHA3ubs=")</f>
        <v>#REF!</v>
      </c>
      <c r="GG65" t="e">
        <f>AND(Examenes!#REF!,"AAAAAHA3ubw=")</f>
        <v>#REF!</v>
      </c>
      <c r="GH65" t="e">
        <f>AND(Examenes!#REF!,"AAAAAHA3ub0=")</f>
        <v>#REF!</v>
      </c>
      <c r="GI65" t="e">
        <f>AND(Examenes!#REF!,"AAAAAHA3ub4=")</f>
        <v>#REF!</v>
      </c>
      <c r="GJ65" t="e">
        <f>AND(Examenes!#REF!,"AAAAAHA3ub8=")</f>
        <v>#REF!</v>
      </c>
      <c r="GK65" t="e">
        <f>IF(Examenes!#REF!,"AAAAAHA3ucA=",0)</f>
        <v>#REF!</v>
      </c>
      <c r="GL65" t="e">
        <f>AND(Examenes!#REF!,"AAAAAHA3ucE=")</f>
        <v>#REF!</v>
      </c>
      <c r="GM65" t="e">
        <f>AND(Examenes!#REF!,"AAAAAHA3ucI=")</f>
        <v>#REF!</v>
      </c>
      <c r="GN65" t="e">
        <f>AND(Examenes!#REF!,"AAAAAHA3ucM=")</f>
        <v>#REF!</v>
      </c>
      <c r="GO65" t="e">
        <f>AND(Examenes!#REF!,"AAAAAHA3ucQ=")</f>
        <v>#REF!</v>
      </c>
      <c r="GP65" t="e">
        <f>AND(Examenes!#REF!,"AAAAAHA3ucU=")</f>
        <v>#REF!</v>
      </c>
      <c r="GQ65" t="e">
        <f>AND(Examenes!#REF!,"AAAAAHA3ucY=")</f>
        <v>#REF!</v>
      </c>
      <c r="GR65" t="e">
        <f>AND(Examenes!#REF!,"AAAAAHA3ucc=")</f>
        <v>#REF!</v>
      </c>
      <c r="GS65" t="e">
        <f>AND(Examenes!#REF!,"AAAAAHA3ucg=")</f>
        <v>#REF!</v>
      </c>
      <c r="GT65" t="e">
        <f>AND(Examenes!#REF!,"AAAAAHA3uck=")</f>
        <v>#REF!</v>
      </c>
      <c r="GU65" t="e">
        <f>AND(Examenes!#REF!,"AAAAAHA3uco=")</f>
        <v>#REF!</v>
      </c>
      <c r="GV65" t="e">
        <f>AND(Examenes!#REF!,"AAAAAHA3ucs=")</f>
        <v>#REF!</v>
      </c>
      <c r="GW65" t="e">
        <f>AND(Examenes!#REF!,"AAAAAHA3ucw=")</f>
        <v>#REF!</v>
      </c>
      <c r="GX65" t="e">
        <f>IF(Examenes!#REF!,"AAAAAHA3uc0=",0)</f>
        <v>#REF!</v>
      </c>
      <c r="GY65" t="e">
        <f>AND(Examenes!#REF!,"AAAAAHA3uc4=")</f>
        <v>#REF!</v>
      </c>
      <c r="GZ65" t="e">
        <f>AND(Examenes!#REF!,"AAAAAHA3uc8=")</f>
        <v>#REF!</v>
      </c>
      <c r="HA65" t="e">
        <f>AND(Examenes!#REF!,"AAAAAHA3udA=")</f>
        <v>#REF!</v>
      </c>
      <c r="HB65" t="e">
        <f>AND(Examenes!#REF!,"AAAAAHA3udE=")</f>
        <v>#REF!</v>
      </c>
      <c r="HC65" t="e">
        <f>AND(Examenes!#REF!,"AAAAAHA3udI=")</f>
        <v>#REF!</v>
      </c>
      <c r="HD65" t="e">
        <f>AND(Examenes!#REF!,"AAAAAHA3udM=")</f>
        <v>#REF!</v>
      </c>
      <c r="HE65" t="e">
        <f>AND(Examenes!#REF!,"AAAAAHA3udQ=")</f>
        <v>#REF!</v>
      </c>
      <c r="HF65" t="e">
        <f>AND(Examenes!#REF!,"AAAAAHA3udU=")</f>
        <v>#REF!</v>
      </c>
      <c r="HG65" t="e">
        <f>AND(Examenes!#REF!,"AAAAAHA3udY=")</f>
        <v>#REF!</v>
      </c>
      <c r="HH65" t="e">
        <f>AND(Examenes!#REF!,"AAAAAHA3udc=")</f>
        <v>#REF!</v>
      </c>
      <c r="HI65" t="e">
        <f>AND(Examenes!#REF!,"AAAAAHA3udg=")</f>
        <v>#REF!</v>
      </c>
      <c r="HJ65" t="e">
        <f>AND(Examenes!#REF!,"AAAAAHA3udk=")</f>
        <v>#REF!</v>
      </c>
      <c r="HK65" t="e">
        <f>IF(Examenes!#REF!,"AAAAAHA3udo=",0)</f>
        <v>#REF!</v>
      </c>
      <c r="HL65" t="e">
        <f>AND(Examenes!#REF!,"AAAAAHA3uds=")</f>
        <v>#REF!</v>
      </c>
      <c r="HM65" t="e">
        <f>AND(Examenes!#REF!,"AAAAAHA3udw=")</f>
        <v>#REF!</v>
      </c>
      <c r="HN65" t="e">
        <f>AND(Examenes!#REF!,"AAAAAHA3ud0=")</f>
        <v>#REF!</v>
      </c>
      <c r="HO65" t="e">
        <f>AND(Examenes!#REF!,"AAAAAHA3ud4=")</f>
        <v>#REF!</v>
      </c>
      <c r="HP65" t="e">
        <f>AND(Examenes!#REF!,"AAAAAHA3ud8=")</f>
        <v>#REF!</v>
      </c>
      <c r="HQ65" t="e">
        <f>AND(Examenes!#REF!,"AAAAAHA3ueA=")</f>
        <v>#REF!</v>
      </c>
      <c r="HR65" t="e">
        <f>AND(Examenes!#REF!,"AAAAAHA3ueE=")</f>
        <v>#REF!</v>
      </c>
      <c r="HS65" t="e">
        <f>AND(Examenes!#REF!,"AAAAAHA3ueI=")</f>
        <v>#REF!</v>
      </c>
      <c r="HT65" t="e">
        <f>AND(Examenes!#REF!,"AAAAAHA3ueM=")</f>
        <v>#REF!</v>
      </c>
      <c r="HU65" t="e">
        <f>AND(Examenes!#REF!,"AAAAAHA3ueQ=")</f>
        <v>#REF!</v>
      </c>
      <c r="HV65" t="e">
        <f>AND(Examenes!#REF!,"AAAAAHA3ueU=")</f>
        <v>#REF!</v>
      </c>
      <c r="HW65" t="e">
        <f>AND(Examenes!#REF!,"AAAAAHA3ueY=")</f>
        <v>#REF!</v>
      </c>
      <c r="HX65" t="e">
        <f>IF(Examenes!#REF!,"AAAAAHA3uec=",0)</f>
        <v>#REF!</v>
      </c>
      <c r="HY65" t="e">
        <f>AND(Examenes!#REF!,"AAAAAHA3ueg=")</f>
        <v>#REF!</v>
      </c>
      <c r="HZ65" t="e">
        <f>AND(Examenes!#REF!,"AAAAAHA3uek=")</f>
        <v>#REF!</v>
      </c>
      <c r="IA65" t="e">
        <f>AND(Examenes!#REF!,"AAAAAHA3ueo=")</f>
        <v>#REF!</v>
      </c>
      <c r="IB65" t="e">
        <f>AND(Examenes!#REF!,"AAAAAHA3ues=")</f>
        <v>#REF!</v>
      </c>
      <c r="IC65" t="e">
        <f>AND(Examenes!#REF!,"AAAAAHA3uew=")</f>
        <v>#REF!</v>
      </c>
      <c r="ID65" t="e">
        <f>AND(Examenes!#REF!,"AAAAAHA3ue0=")</f>
        <v>#REF!</v>
      </c>
      <c r="IE65" t="e">
        <f>AND(Examenes!#REF!,"AAAAAHA3ue4=")</f>
        <v>#REF!</v>
      </c>
      <c r="IF65" t="e">
        <f>AND(Examenes!#REF!,"AAAAAHA3ue8=")</f>
        <v>#REF!</v>
      </c>
      <c r="IG65" t="e">
        <f>AND(Examenes!#REF!,"AAAAAHA3ufA=")</f>
        <v>#REF!</v>
      </c>
      <c r="IH65" t="e">
        <f>AND(Examenes!#REF!,"AAAAAHA3ufE=")</f>
        <v>#REF!</v>
      </c>
      <c r="II65" t="e">
        <f>AND(Examenes!#REF!,"AAAAAHA3ufI=")</f>
        <v>#REF!</v>
      </c>
      <c r="IJ65" t="e">
        <f>AND(Examenes!#REF!,"AAAAAHA3ufM=")</f>
        <v>#REF!</v>
      </c>
      <c r="IK65" t="e">
        <f>IF(Examenes!#REF!,"AAAAAHA3ufQ=",0)</f>
        <v>#REF!</v>
      </c>
      <c r="IL65" t="e">
        <f>AND(Examenes!#REF!,"AAAAAHA3ufU=")</f>
        <v>#REF!</v>
      </c>
      <c r="IM65" t="e">
        <f>AND(Examenes!#REF!,"AAAAAHA3ufY=")</f>
        <v>#REF!</v>
      </c>
      <c r="IN65" t="e">
        <f>AND(Examenes!#REF!,"AAAAAHA3ufc=")</f>
        <v>#REF!</v>
      </c>
      <c r="IO65" t="e">
        <f>AND(Examenes!#REF!,"AAAAAHA3ufg=")</f>
        <v>#REF!</v>
      </c>
      <c r="IP65" t="e">
        <f>AND(Examenes!#REF!,"AAAAAHA3ufk=")</f>
        <v>#REF!</v>
      </c>
      <c r="IQ65" t="e">
        <f>AND(Examenes!#REF!,"AAAAAHA3ufo=")</f>
        <v>#REF!</v>
      </c>
      <c r="IR65" t="e">
        <f>AND(Examenes!#REF!,"AAAAAHA3ufs=")</f>
        <v>#REF!</v>
      </c>
      <c r="IS65" t="e">
        <f>AND(Examenes!#REF!,"AAAAAHA3ufw=")</f>
        <v>#REF!</v>
      </c>
      <c r="IT65" t="e">
        <f>AND(Examenes!#REF!,"AAAAAHA3uf0=")</f>
        <v>#REF!</v>
      </c>
      <c r="IU65" t="e">
        <f>AND(Examenes!#REF!,"AAAAAHA3uf4=")</f>
        <v>#REF!</v>
      </c>
      <c r="IV65" t="e">
        <f>AND(Examenes!#REF!,"AAAAAHA3uf8=")</f>
        <v>#REF!</v>
      </c>
    </row>
    <row r="66" spans="1:256" x14ac:dyDescent="0.35">
      <c r="A66" t="e">
        <f>AND(Examenes!#REF!,"AAAAAHPg/QA=")</f>
        <v>#REF!</v>
      </c>
      <c r="B66" t="e">
        <f>IF(Examenes!#REF!,"AAAAAHPg/QE=",0)</f>
        <v>#REF!</v>
      </c>
      <c r="C66" t="e">
        <f>AND(Examenes!#REF!,"AAAAAHPg/QI=")</f>
        <v>#REF!</v>
      </c>
      <c r="D66" t="e">
        <f>AND(Examenes!#REF!,"AAAAAHPg/QM=")</f>
        <v>#REF!</v>
      </c>
      <c r="E66" t="e">
        <f>AND(Examenes!#REF!,"AAAAAHPg/QQ=")</f>
        <v>#REF!</v>
      </c>
      <c r="F66" t="e">
        <f>AND(Examenes!#REF!,"AAAAAHPg/QU=")</f>
        <v>#REF!</v>
      </c>
      <c r="G66" t="e">
        <f>AND(Examenes!#REF!,"AAAAAHPg/QY=")</f>
        <v>#REF!</v>
      </c>
      <c r="H66" t="e">
        <f>AND(Examenes!#REF!,"AAAAAHPg/Qc=")</f>
        <v>#REF!</v>
      </c>
      <c r="I66" t="e">
        <f>AND(Examenes!#REF!,"AAAAAHPg/Qg=")</f>
        <v>#REF!</v>
      </c>
      <c r="J66" t="e">
        <f>AND(Examenes!#REF!,"AAAAAHPg/Qk=")</f>
        <v>#REF!</v>
      </c>
      <c r="K66" t="e">
        <f>AND(Examenes!#REF!,"AAAAAHPg/Qo=")</f>
        <v>#REF!</v>
      </c>
      <c r="L66" t="e">
        <f>AND(Examenes!#REF!,"AAAAAHPg/Qs=")</f>
        <v>#REF!</v>
      </c>
      <c r="M66" t="e">
        <f>AND(Examenes!#REF!,"AAAAAHPg/Qw=")</f>
        <v>#REF!</v>
      </c>
      <c r="N66" t="e">
        <f>AND(Examenes!#REF!,"AAAAAHPg/Q0=")</f>
        <v>#REF!</v>
      </c>
      <c r="O66" t="e">
        <f>IF(Examenes!#REF!,"AAAAAHPg/Q4=",0)</f>
        <v>#REF!</v>
      </c>
      <c r="P66" t="e">
        <f>AND(Examenes!#REF!,"AAAAAHPg/Q8=")</f>
        <v>#REF!</v>
      </c>
      <c r="Q66" t="e">
        <f>AND(Examenes!#REF!,"AAAAAHPg/RA=")</f>
        <v>#REF!</v>
      </c>
      <c r="R66" t="e">
        <f>AND(Examenes!#REF!,"AAAAAHPg/RE=")</f>
        <v>#REF!</v>
      </c>
      <c r="S66" t="e">
        <f>AND(Examenes!#REF!,"AAAAAHPg/RI=")</f>
        <v>#REF!</v>
      </c>
      <c r="T66" t="e">
        <f>AND(Examenes!#REF!,"AAAAAHPg/RM=")</f>
        <v>#REF!</v>
      </c>
      <c r="U66" t="e">
        <f>AND(Examenes!#REF!,"AAAAAHPg/RQ=")</f>
        <v>#REF!</v>
      </c>
      <c r="V66" t="e">
        <f>AND(Examenes!#REF!,"AAAAAHPg/RU=")</f>
        <v>#REF!</v>
      </c>
      <c r="W66" t="e">
        <f>AND(Examenes!#REF!,"AAAAAHPg/RY=")</f>
        <v>#REF!</v>
      </c>
      <c r="X66" t="e">
        <f>AND(Examenes!#REF!,"AAAAAHPg/Rc=")</f>
        <v>#REF!</v>
      </c>
      <c r="Y66" t="e">
        <f>AND(Examenes!#REF!,"AAAAAHPg/Rg=")</f>
        <v>#REF!</v>
      </c>
      <c r="Z66" t="e">
        <f>AND(Examenes!#REF!,"AAAAAHPg/Rk=")</f>
        <v>#REF!</v>
      </c>
      <c r="AA66" t="e">
        <f>AND(Examenes!#REF!,"AAAAAHPg/Ro=")</f>
        <v>#REF!</v>
      </c>
      <c r="AB66" t="e">
        <f>IF(Examenes!#REF!,"AAAAAHPg/Rs=",0)</f>
        <v>#REF!</v>
      </c>
      <c r="AC66" t="e">
        <f>AND(Examenes!#REF!,"AAAAAHPg/Rw=")</f>
        <v>#REF!</v>
      </c>
      <c r="AD66" t="e">
        <f>AND(Examenes!#REF!,"AAAAAHPg/R0=")</f>
        <v>#REF!</v>
      </c>
      <c r="AE66" t="e">
        <f>AND(Examenes!#REF!,"AAAAAHPg/R4=")</f>
        <v>#REF!</v>
      </c>
      <c r="AF66" t="e">
        <f>AND(Examenes!#REF!,"AAAAAHPg/R8=")</f>
        <v>#REF!</v>
      </c>
      <c r="AG66" t="e">
        <f>AND(Examenes!#REF!,"AAAAAHPg/SA=")</f>
        <v>#REF!</v>
      </c>
      <c r="AH66" t="e">
        <f>AND(Examenes!#REF!,"AAAAAHPg/SE=")</f>
        <v>#REF!</v>
      </c>
      <c r="AI66" t="e">
        <f>AND(Examenes!#REF!,"AAAAAHPg/SI=")</f>
        <v>#REF!</v>
      </c>
      <c r="AJ66" t="e">
        <f>AND(Examenes!#REF!,"AAAAAHPg/SM=")</f>
        <v>#REF!</v>
      </c>
      <c r="AK66" t="e">
        <f>AND(Examenes!#REF!,"AAAAAHPg/SQ=")</f>
        <v>#REF!</v>
      </c>
      <c r="AL66" t="e">
        <f>AND(Examenes!#REF!,"AAAAAHPg/SU=")</f>
        <v>#REF!</v>
      </c>
      <c r="AM66" t="e">
        <f>AND(Examenes!#REF!,"AAAAAHPg/SY=")</f>
        <v>#REF!</v>
      </c>
      <c r="AN66" t="e">
        <f>AND(Examenes!#REF!,"AAAAAHPg/Sc=")</f>
        <v>#REF!</v>
      </c>
      <c r="AO66" t="e">
        <f>IF(Examenes!#REF!,"AAAAAHPg/Sg=",0)</f>
        <v>#REF!</v>
      </c>
      <c r="AP66" t="e">
        <f>AND(Examenes!#REF!,"AAAAAHPg/Sk=")</f>
        <v>#REF!</v>
      </c>
      <c r="AQ66" t="e">
        <f>AND(Examenes!#REF!,"AAAAAHPg/So=")</f>
        <v>#REF!</v>
      </c>
      <c r="AR66" t="e">
        <f>AND(Examenes!#REF!,"AAAAAHPg/Ss=")</f>
        <v>#REF!</v>
      </c>
      <c r="AS66" t="e">
        <f>AND(Examenes!#REF!,"AAAAAHPg/Sw=")</f>
        <v>#REF!</v>
      </c>
      <c r="AT66" t="e">
        <f>AND(Examenes!#REF!,"AAAAAHPg/S0=")</f>
        <v>#REF!</v>
      </c>
      <c r="AU66" t="e">
        <f>AND(Examenes!#REF!,"AAAAAHPg/S4=")</f>
        <v>#REF!</v>
      </c>
      <c r="AV66" t="e">
        <f>AND(Examenes!#REF!,"AAAAAHPg/S8=")</f>
        <v>#REF!</v>
      </c>
      <c r="AW66" t="e">
        <f>AND(Examenes!#REF!,"AAAAAHPg/TA=")</f>
        <v>#REF!</v>
      </c>
      <c r="AX66" t="e">
        <f>AND(Examenes!#REF!,"AAAAAHPg/TE=")</f>
        <v>#REF!</v>
      </c>
      <c r="AY66" t="e">
        <f>AND(Examenes!#REF!,"AAAAAHPg/TI=")</f>
        <v>#REF!</v>
      </c>
      <c r="AZ66" t="e">
        <f>AND(Examenes!#REF!,"AAAAAHPg/TM=")</f>
        <v>#REF!</v>
      </c>
      <c r="BA66" t="e">
        <f>AND(Examenes!#REF!,"AAAAAHPg/TQ=")</f>
        <v>#REF!</v>
      </c>
      <c r="BB66" t="e">
        <f>IF(Examenes!#REF!,"AAAAAHPg/TU=",0)</f>
        <v>#REF!</v>
      </c>
      <c r="BC66" t="e">
        <f>AND(Examenes!#REF!,"AAAAAHPg/TY=")</f>
        <v>#REF!</v>
      </c>
      <c r="BD66" t="e">
        <f>AND(Examenes!#REF!,"AAAAAHPg/Tc=")</f>
        <v>#REF!</v>
      </c>
      <c r="BE66" t="e">
        <f>AND(Examenes!#REF!,"AAAAAHPg/Tg=")</f>
        <v>#REF!</v>
      </c>
      <c r="BF66" t="e">
        <f>AND(Examenes!#REF!,"AAAAAHPg/Tk=")</f>
        <v>#REF!</v>
      </c>
      <c r="BG66" t="e">
        <f>AND(Examenes!#REF!,"AAAAAHPg/To=")</f>
        <v>#REF!</v>
      </c>
      <c r="BH66" t="e">
        <f>AND(Examenes!#REF!,"AAAAAHPg/Ts=")</f>
        <v>#REF!</v>
      </c>
      <c r="BI66" t="e">
        <f>AND(Examenes!#REF!,"AAAAAHPg/Tw=")</f>
        <v>#REF!</v>
      </c>
      <c r="BJ66" t="e">
        <f>AND(Examenes!#REF!,"AAAAAHPg/T0=")</f>
        <v>#REF!</v>
      </c>
      <c r="BK66" t="e">
        <f>AND(Examenes!#REF!,"AAAAAHPg/T4=")</f>
        <v>#REF!</v>
      </c>
      <c r="BL66" t="e">
        <f>AND(Examenes!#REF!,"AAAAAHPg/T8=")</f>
        <v>#REF!</v>
      </c>
      <c r="BM66" t="e">
        <f>AND(Examenes!#REF!,"AAAAAHPg/UA=")</f>
        <v>#REF!</v>
      </c>
      <c r="BN66" t="e">
        <f>AND(Examenes!#REF!,"AAAAAHPg/UE=")</f>
        <v>#REF!</v>
      </c>
      <c r="BO66" t="e">
        <f>IF(Examenes!#REF!,"AAAAAHPg/UI=",0)</f>
        <v>#REF!</v>
      </c>
      <c r="BP66" t="e">
        <f>AND(Examenes!#REF!,"AAAAAHPg/UM=")</f>
        <v>#REF!</v>
      </c>
      <c r="BQ66" t="e">
        <f>AND(Examenes!#REF!,"AAAAAHPg/UQ=")</f>
        <v>#REF!</v>
      </c>
      <c r="BR66" t="e">
        <f>AND(Examenes!#REF!,"AAAAAHPg/UU=")</f>
        <v>#REF!</v>
      </c>
      <c r="BS66" t="e">
        <f>AND(Examenes!#REF!,"AAAAAHPg/UY=")</f>
        <v>#REF!</v>
      </c>
      <c r="BT66" t="e">
        <f>AND(Examenes!#REF!,"AAAAAHPg/Uc=")</f>
        <v>#REF!</v>
      </c>
      <c r="BU66" t="e">
        <f>AND(Examenes!#REF!,"AAAAAHPg/Ug=")</f>
        <v>#REF!</v>
      </c>
      <c r="BV66" t="e">
        <f>AND(Examenes!#REF!,"AAAAAHPg/Uk=")</f>
        <v>#REF!</v>
      </c>
      <c r="BW66" t="e">
        <f>AND(Examenes!#REF!,"AAAAAHPg/Uo=")</f>
        <v>#REF!</v>
      </c>
      <c r="BX66" t="e">
        <f>AND(Examenes!#REF!,"AAAAAHPg/Us=")</f>
        <v>#REF!</v>
      </c>
      <c r="BY66" t="e">
        <f>AND(Examenes!#REF!,"AAAAAHPg/Uw=")</f>
        <v>#REF!</v>
      </c>
      <c r="BZ66" t="e">
        <f>AND(Examenes!#REF!,"AAAAAHPg/U0=")</f>
        <v>#REF!</v>
      </c>
      <c r="CA66" t="e">
        <f>AND(Examenes!#REF!,"AAAAAHPg/U4=")</f>
        <v>#REF!</v>
      </c>
      <c r="CB66" t="e">
        <f>IF(Examenes!#REF!,"AAAAAHPg/U8=",0)</f>
        <v>#REF!</v>
      </c>
      <c r="CC66" t="e">
        <f>AND(Examenes!#REF!,"AAAAAHPg/VA=")</f>
        <v>#REF!</v>
      </c>
      <c r="CD66" t="e">
        <f>AND(Examenes!#REF!,"AAAAAHPg/VE=")</f>
        <v>#REF!</v>
      </c>
      <c r="CE66" t="e">
        <f>AND(Examenes!#REF!,"AAAAAHPg/VI=")</f>
        <v>#REF!</v>
      </c>
      <c r="CF66" t="e">
        <f>AND(Examenes!#REF!,"AAAAAHPg/VM=")</f>
        <v>#REF!</v>
      </c>
      <c r="CG66" t="e">
        <f>AND(Examenes!#REF!,"AAAAAHPg/VQ=")</f>
        <v>#REF!</v>
      </c>
      <c r="CH66" t="e">
        <f>AND(Examenes!#REF!,"AAAAAHPg/VU=")</f>
        <v>#REF!</v>
      </c>
      <c r="CI66" t="e">
        <f>AND(Examenes!#REF!,"AAAAAHPg/VY=")</f>
        <v>#REF!</v>
      </c>
      <c r="CJ66" t="e">
        <f>AND(Examenes!#REF!,"AAAAAHPg/Vc=")</f>
        <v>#REF!</v>
      </c>
      <c r="CK66" t="e">
        <f>AND(Examenes!#REF!,"AAAAAHPg/Vg=")</f>
        <v>#REF!</v>
      </c>
      <c r="CL66" t="e">
        <f>AND(Examenes!#REF!,"AAAAAHPg/Vk=")</f>
        <v>#REF!</v>
      </c>
      <c r="CM66" t="e">
        <f>AND(Examenes!#REF!,"AAAAAHPg/Vo=")</f>
        <v>#REF!</v>
      </c>
      <c r="CN66" t="e">
        <f>AND(Examenes!#REF!,"AAAAAHPg/Vs=")</f>
        <v>#REF!</v>
      </c>
      <c r="CO66" t="e">
        <f>IF(Examenes!#REF!,"AAAAAHPg/Vw=",0)</f>
        <v>#REF!</v>
      </c>
      <c r="CP66" t="e">
        <f>AND(Examenes!#REF!,"AAAAAHPg/V0=")</f>
        <v>#REF!</v>
      </c>
      <c r="CQ66" t="e">
        <f>AND(Examenes!#REF!,"AAAAAHPg/V4=")</f>
        <v>#REF!</v>
      </c>
      <c r="CR66" t="e">
        <f>IF(Examenes!#REF!,"AAAAAHPg/V8=",0)</f>
        <v>#REF!</v>
      </c>
      <c r="CS66" t="e">
        <f>AND(Examenes!#REF!,"AAAAAHPg/WA=")</f>
        <v>#REF!</v>
      </c>
      <c r="CT66" t="e">
        <f>AND(Examenes!#REF!,"AAAAAHPg/WE=")</f>
        <v>#REF!</v>
      </c>
      <c r="CU66" t="e">
        <f>IF(Examenes!#REF!,"AAAAAHPg/WI=",0)</f>
        <v>#REF!</v>
      </c>
      <c r="CV66" t="e">
        <f>AND(Examenes!#REF!,"AAAAAHPg/WM=")</f>
        <v>#REF!</v>
      </c>
      <c r="CW66" t="e">
        <f>AND(Examenes!#REF!,"AAAAAHPg/WQ=")</f>
        <v>#REF!</v>
      </c>
      <c r="CX66" t="e">
        <f>IF(Examenes!#REF!,"AAAAAHPg/WU=",0)</f>
        <v>#REF!</v>
      </c>
      <c r="CY66" t="e">
        <f>AND(Examenes!#REF!,"AAAAAHPg/WY=")</f>
        <v>#REF!</v>
      </c>
      <c r="CZ66" t="e">
        <f>AND(Examenes!#REF!,"AAAAAHPg/Wc=")</f>
        <v>#REF!</v>
      </c>
      <c r="DA66" t="e">
        <f>IF(Examenes!#REF!,"AAAAAHPg/Wg=",0)</f>
        <v>#REF!</v>
      </c>
      <c r="DB66" t="e">
        <f>AND(Examenes!#REF!,"AAAAAHPg/Wk=")</f>
        <v>#REF!</v>
      </c>
      <c r="DC66" t="e">
        <f>AND(Examenes!#REF!,"AAAAAHPg/Wo=")</f>
        <v>#REF!</v>
      </c>
      <c r="DD66" t="e">
        <f>IF(Examenes!#REF!,"AAAAAHPg/Ws=",0)</f>
        <v>#REF!</v>
      </c>
      <c r="DE66" t="e">
        <f>AND(Examenes!#REF!,"AAAAAHPg/Ww=")</f>
        <v>#REF!</v>
      </c>
      <c r="DF66" t="e">
        <f>AND(Examenes!#REF!,"AAAAAHPg/W0=")</f>
        <v>#REF!</v>
      </c>
      <c r="DG66" t="e">
        <f>IF(Examenes!#REF!,"AAAAAHPg/W4=",0)</f>
        <v>#REF!</v>
      </c>
      <c r="DH66" t="e">
        <f>AND(Examenes!#REF!,"AAAAAHPg/W8=")</f>
        <v>#REF!</v>
      </c>
      <c r="DI66" t="e">
        <f>AND(Examenes!#REF!,"AAAAAHPg/XA=")</f>
        <v>#REF!</v>
      </c>
      <c r="DJ66" t="e">
        <f>IF(Examenes!#REF!,"AAAAAHPg/XE=",0)</f>
        <v>#REF!</v>
      </c>
      <c r="DK66" t="e">
        <f>AND(Examenes!#REF!,"AAAAAHPg/XI=")</f>
        <v>#REF!</v>
      </c>
      <c r="DL66" t="e">
        <f>AND(Examenes!#REF!,"AAAAAHPg/XM=")</f>
        <v>#REF!</v>
      </c>
      <c r="DM66" t="e">
        <f>IF(Examenes!#REF!,"AAAAAHPg/XQ=",0)</f>
        <v>#REF!</v>
      </c>
      <c r="DN66" t="e">
        <f>AND(Examenes!#REF!,"AAAAAHPg/XU=")</f>
        <v>#REF!</v>
      </c>
      <c r="DO66" t="e">
        <f>AND(Examenes!#REF!,"AAAAAHPg/XY=")</f>
        <v>#REF!</v>
      </c>
      <c r="DP66" t="e">
        <f>IF(Examenes!#REF!,"AAAAAHPg/Xc=",0)</f>
        <v>#REF!</v>
      </c>
      <c r="DQ66" t="e">
        <f>AND(Examenes!#REF!,"AAAAAHPg/Xg=")</f>
        <v>#REF!</v>
      </c>
      <c r="DR66" t="e">
        <f>AND(Examenes!#REF!,"AAAAAHPg/Xk=")</f>
        <v>#REF!</v>
      </c>
      <c r="DS66" t="e">
        <f>IF(Examenes!#REF!,"AAAAAHPg/Xo=",0)</f>
        <v>#REF!</v>
      </c>
      <c r="DT66" t="e">
        <f>AND(Examenes!#REF!,"AAAAAHPg/Xs=")</f>
        <v>#REF!</v>
      </c>
      <c r="DU66" t="e">
        <f>AND(Examenes!#REF!,"AAAAAHPg/Xw=")</f>
        <v>#REF!</v>
      </c>
      <c r="DV66" t="e">
        <f>IF(Examenes!#REF!,"AAAAAHPg/X0=",0)</f>
        <v>#REF!</v>
      </c>
      <c r="DW66" t="e">
        <f>AND(Examenes!#REF!,"AAAAAHPg/X4=")</f>
        <v>#REF!</v>
      </c>
      <c r="DX66" t="e">
        <f>AND(Examenes!#REF!,"AAAAAHPg/X8=")</f>
        <v>#REF!</v>
      </c>
      <c r="DY66" t="e">
        <f>IF(Examenes!#REF!,"AAAAAHPg/YA=",0)</f>
        <v>#REF!</v>
      </c>
      <c r="DZ66" t="e">
        <f>AND(Examenes!#REF!,"AAAAAHPg/YE=")</f>
        <v>#REF!</v>
      </c>
      <c r="EA66" t="e">
        <f>AND(Examenes!#REF!,"AAAAAHPg/YI=")</f>
        <v>#REF!</v>
      </c>
      <c r="EB66" t="e">
        <f>IF(Examenes!#REF!,"AAAAAHPg/YM=",0)</f>
        <v>#REF!</v>
      </c>
      <c r="EC66" t="e">
        <f>AND(Examenes!#REF!,"AAAAAHPg/YQ=")</f>
        <v>#REF!</v>
      </c>
      <c r="ED66" t="e">
        <f>AND(Examenes!#REF!,"AAAAAHPg/YU=")</f>
        <v>#REF!</v>
      </c>
      <c r="EE66" t="e">
        <f>IF(Examenes!#REF!,"AAAAAHPg/YY=",0)</f>
        <v>#REF!</v>
      </c>
      <c r="EF66" t="e">
        <f>AND(Examenes!#REF!,"AAAAAHPg/Yc=")</f>
        <v>#REF!</v>
      </c>
      <c r="EG66" t="e">
        <f>AND(Examenes!#REF!,"AAAAAHPg/Yg=")</f>
        <v>#REF!</v>
      </c>
      <c r="EH66" t="e">
        <f>IF(Examenes!#REF!,"AAAAAHPg/Yk=",0)</f>
        <v>#REF!</v>
      </c>
      <c r="EI66" t="e">
        <f>AND(Examenes!#REF!,"AAAAAHPg/Yo=")</f>
        <v>#REF!</v>
      </c>
      <c r="EJ66" t="e">
        <f>AND(Examenes!#REF!,"AAAAAHPg/Ys=")</f>
        <v>#REF!</v>
      </c>
      <c r="EK66" t="e">
        <f>IF(Examenes!#REF!,"AAAAAHPg/Yw=",0)</f>
        <v>#REF!</v>
      </c>
      <c r="EL66" t="e">
        <f>AND(Examenes!#REF!,"AAAAAHPg/Y0=")</f>
        <v>#REF!</v>
      </c>
      <c r="EM66" t="e">
        <f>AND(Examenes!#REF!,"AAAAAHPg/Y4=")</f>
        <v>#REF!</v>
      </c>
      <c r="EN66" t="e">
        <f>IF(Examenes!#REF!,"AAAAAHPg/Y8=",0)</f>
        <v>#REF!</v>
      </c>
      <c r="EO66" t="e">
        <f>AND(Examenes!#REF!,"AAAAAHPg/ZA=")</f>
        <v>#REF!</v>
      </c>
      <c r="EP66" t="e">
        <f>AND(Examenes!#REF!,"AAAAAHPg/ZE=")</f>
        <v>#REF!</v>
      </c>
      <c r="EQ66" t="e">
        <f>IF(Examenes!#REF!,"AAAAAHPg/ZI=",0)</f>
        <v>#REF!</v>
      </c>
      <c r="ER66" t="e">
        <f>AND(Examenes!#REF!,"AAAAAHPg/ZM=")</f>
        <v>#REF!</v>
      </c>
      <c r="ES66" t="e">
        <f>AND(Examenes!#REF!,"AAAAAHPg/ZQ=")</f>
        <v>#REF!</v>
      </c>
      <c r="ET66" t="e">
        <f>IF(Examenes!#REF!,"AAAAAHPg/ZU=",0)</f>
        <v>#REF!</v>
      </c>
      <c r="EU66" t="e">
        <f>AND(Examenes!#REF!,"AAAAAHPg/ZY=")</f>
        <v>#REF!</v>
      </c>
      <c r="EV66" t="e">
        <f>AND(Examenes!#REF!,"AAAAAHPg/Zc=")</f>
        <v>#REF!</v>
      </c>
      <c r="EW66" t="e">
        <f>IF(Examenes!#REF!,"AAAAAHPg/Zg=",0)</f>
        <v>#REF!</v>
      </c>
      <c r="EX66" t="e">
        <f>AND(Examenes!#REF!,"AAAAAHPg/Zk=")</f>
        <v>#REF!</v>
      </c>
      <c r="EY66" t="e">
        <f>AND(Examenes!#REF!,"AAAAAHPg/Zo=")</f>
        <v>#REF!</v>
      </c>
      <c r="EZ66" t="e">
        <f>IF(Examenes!#REF!,"AAAAAHPg/Zs=",0)</f>
        <v>#REF!</v>
      </c>
      <c r="FA66" t="e">
        <f>AND(Examenes!#REF!,"AAAAAHPg/Zw=")</f>
        <v>#REF!</v>
      </c>
      <c r="FB66" t="e">
        <f>AND(Examenes!#REF!,"AAAAAHPg/Z0=")</f>
        <v>#REF!</v>
      </c>
      <c r="FC66" t="e">
        <f>IF(Examenes!#REF!,"AAAAAHPg/Z4=",0)</f>
        <v>#REF!</v>
      </c>
      <c r="FD66" t="e">
        <f>AND(Examenes!#REF!,"AAAAAHPg/Z8=")</f>
        <v>#REF!</v>
      </c>
      <c r="FE66" t="e">
        <f>AND(Examenes!#REF!,"AAAAAHPg/aA=")</f>
        <v>#REF!</v>
      </c>
      <c r="FF66" t="e">
        <f>IF(Examenes!#REF!,"AAAAAHPg/aE=",0)</f>
        <v>#REF!</v>
      </c>
      <c r="FG66" t="e">
        <f>AND(Examenes!#REF!,"AAAAAHPg/aI=")</f>
        <v>#REF!</v>
      </c>
      <c r="FH66" t="e">
        <f>AND(Examenes!#REF!,"AAAAAHPg/aM=")</f>
        <v>#REF!</v>
      </c>
      <c r="FI66" t="e">
        <f>IF(Examenes!#REF!,"AAAAAHPg/aQ=",0)</f>
        <v>#REF!</v>
      </c>
      <c r="FJ66" t="e">
        <f>AND(Examenes!#REF!,"AAAAAHPg/aU=")</f>
        <v>#REF!</v>
      </c>
      <c r="FK66" t="e">
        <f>AND(Examenes!#REF!,"AAAAAHPg/aY=")</f>
        <v>#REF!</v>
      </c>
      <c r="FL66" t="e">
        <f>IF(Examenes!#REF!,"AAAAAHPg/ac=",0)</f>
        <v>#REF!</v>
      </c>
      <c r="FM66" t="e">
        <f>AND(Examenes!#REF!,"AAAAAHPg/ag=")</f>
        <v>#REF!</v>
      </c>
      <c r="FN66" t="e">
        <f>AND(Examenes!#REF!,"AAAAAHPg/ak=")</f>
        <v>#REF!</v>
      </c>
      <c r="FO66" t="e">
        <f>IF(Examenes!#REF!,"AAAAAHPg/ao=",0)</f>
        <v>#REF!</v>
      </c>
      <c r="FP66" t="e">
        <f>AND(Examenes!#REF!,"AAAAAHPg/as=")</f>
        <v>#REF!</v>
      </c>
      <c r="FQ66" t="e">
        <f>AND(Examenes!#REF!,"AAAAAHPg/aw=")</f>
        <v>#REF!</v>
      </c>
      <c r="FR66" t="e">
        <f>IF(Examenes!#REF!,"AAAAAHPg/a0=",0)</f>
        <v>#REF!</v>
      </c>
      <c r="FS66" t="e">
        <f>AND(Examenes!#REF!,"AAAAAHPg/a4=")</f>
        <v>#REF!</v>
      </c>
      <c r="FT66" t="e">
        <f>AND(Examenes!#REF!,"AAAAAHPg/a8=")</f>
        <v>#REF!</v>
      </c>
      <c r="FU66" t="e">
        <f>IF(Examenes!#REF!,"AAAAAHPg/bA=",0)</f>
        <v>#REF!</v>
      </c>
      <c r="FV66" t="e">
        <f>AND(Examenes!#REF!,"AAAAAHPg/bE=")</f>
        <v>#REF!</v>
      </c>
      <c r="FW66" t="e">
        <f>AND(Examenes!#REF!,"AAAAAHPg/bI=")</f>
        <v>#REF!</v>
      </c>
    </row>
    <row r="67" spans="1:256" x14ac:dyDescent="0.35">
      <c r="A67" t="e">
        <f>AND(Tareas!#REF!,"AAAAAH/wPwA=")</f>
        <v>#REF!</v>
      </c>
      <c r="B67" t="e">
        <f>AND(Tareas!#REF!,"AAAAAH/wPwE=")</f>
        <v>#REF!</v>
      </c>
      <c r="C67" t="e">
        <f>AND(Tareas!#REF!,"AAAAAH/wPwI=")</f>
        <v>#REF!</v>
      </c>
      <c r="D67" t="e">
        <f>AND(Tareas!#REF!,"AAAAAH/wPwM=")</f>
        <v>#REF!</v>
      </c>
      <c r="E67" t="e">
        <f>AND(Tareas!#REF!,"AAAAAH/wPwQ=")</f>
        <v>#REF!</v>
      </c>
      <c r="F67" t="e">
        <f>AND(Tareas!#REF!,"AAAAAH/wPwU=")</f>
        <v>#REF!</v>
      </c>
      <c r="G67" t="e">
        <f>AND(Tareas!#REF!,"AAAAAH/wPwY=")</f>
        <v>#REF!</v>
      </c>
      <c r="H67" t="e">
        <f>AND(Tareas!#REF!,"AAAAAH/wPwc=")</f>
        <v>#REF!</v>
      </c>
      <c r="I67" t="e">
        <f>AND(Tareas!#REF!,"AAAAAH/wPwg=")</f>
        <v>#REF!</v>
      </c>
      <c r="J67" t="e">
        <f>AND(Tareas!#REF!,"AAAAAH/wPwk=")</f>
        <v>#REF!</v>
      </c>
      <c r="K67" t="e">
        <f>AND(Tareas!#REF!,"AAAAAH/wPwo=")</f>
        <v>#REF!</v>
      </c>
      <c r="L67" t="e">
        <f>AND(Tareas!#REF!,"AAAAAH/wPws=")</f>
        <v>#REF!</v>
      </c>
      <c r="M67" t="e">
        <f>AND(Tareas!#REF!,"AAAAAH/wPww=")</f>
        <v>#REF!</v>
      </c>
      <c r="N67" t="e">
        <f>AND(Tareas!#REF!,"AAAAAH/wPw0=")</f>
        <v>#REF!</v>
      </c>
      <c r="O67" t="e">
        <f>AND(Tareas!#REF!,"AAAAAH/wPw4=")</f>
        <v>#REF!</v>
      </c>
      <c r="P67" t="e">
        <f>AND(Tareas!#REF!,"AAAAAH/wPw8=")</f>
        <v>#REF!</v>
      </c>
      <c r="Q67" t="e">
        <f>AND(Tareas!#REF!,"AAAAAH/wPxA=")</f>
        <v>#REF!</v>
      </c>
      <c r="R67" t="e">
        <f>AND(Tareas!#REF!,"AAAAAH/wPxE=")</f>
        <v>#REF!</v>
      </c>
      <c r="S67" t="e">
        <f>AND(Tareas!#REF!,"AAAAAH/wPxI=")</f>
        <v>#REF!</v>
      </c>
      <c r="T67" t="e">
        <f>AND(Tareas!#REF!,"AAAAAH/wPxM=")</f>
        <v>#REF!</v>
      </c>
      <c r="U67" t="e">
        <f>AND(Tareas!#REF!,"AAAAAH/wPxQ=")</f>
        <v>#REF!</v>
      </c>
      <c r="V67" t="e">
        <f>AND(Tareas!#REF!,"AAAAAH/wPxU=")</f>
        <v>#REF!</v>
      </c>
      <c r="W67" t="e">
        <f>AND(Tareas!#REF!,"AAAAAH/wPxY=")</f>
        <v>#REF!</v>
      </c>
      <c r="X67" t="e">
        <f>AND(Tareas!#REF!,"AAAAAH/wPxc=")</f>
        <v>#REF!</v>
      </c>
      <c r="Y67" t="e">
        <f>AND(Tareas!#REF!,"AAAAAH/wPxg=")</f>
        <v>#REF!</v>
      </c>
      <c r="Z67" t="e">
        <f>AND(Tareas!#REF!,"AAAAAH/wPxk=")</f>
        <v>#REF!</v>
      </c>
      <c r="AA67" t="e">
        <f>AND(Tareas!#REF!,"AAAAAH/wPxo=")</f>
        <v>#REF!</v>
      </c>
      <c r="AB67" t="e">
        <f>AND(Tareas!#REF!,"AAAAAH/wPxs=")</f>
        <v>#REF!</v>
      </c>
      <c r="AC67" t="e">
        <f>AND(Tareas!#REF!,"AAAAAH/wPxw=")</f>
        <v>#REF!</v>
      </c>
      <c r="AD67" t="e">
        <f>AND(Tareas!#REF!,"AAAAAH/wPx0=")</f>
        <v>#REF!</v>
      </c>
      <c r="AE67" t="e">
        <f>AND(Tareas!#REF!,"AAAAAH/wPx4=")</f>
        <v>#REF!</v>
      </c>
      <c r="AF67" t="e">
        <f>AND(Tareas!#REF!,"AAAAAH/wPx8=")</f>
        <v>#REF!</v>
      </c>
      <c r="AG67" t="e">
        <f>AND(Tareas!#REF!,"AAAAAH/wPyA=")</f>
        <v>#REF!</v>
      </c>
      <c r="AH67" t="e">
        <f>AND(Tareas!#REF!,"AAAAAH/wPyE=")</f>
        <v>#REF!</v>
      </c>
      <c r="AI67" t="e">
        <f>AND(Tareas!#REF!,"AAAAAH/wPyI=")</f>
        <v>#REF!</v>
      </c>
      <c r="AJ67" t="e">
        <f>AND(Tareas!G1,"AAAAAH/wPyM=")</f>
        <v>#VALUE!</v>
      </c>
      <c r="AK67" t="e">
        <f>AND(Tareas!#REF!,"AAAAAH/wPyQ=")</f>
        <v>#REF!</v>
      </c>
      <c r="AL67" t="e">
        <f>AND(Tareas!#REF!,"AAAAAH/wPyU=")</f>
        <v>#REF!</v>
      </c>
      <c r="AM67" t="e">
        <f>AND(Tareas!#REF!,"AAAAAH/wPyY=")</f>
        <v>#REF!</v>
      </c>
      <c r="AN67" t="e">
        <f>AND(Tareas!H1,"AAAAAH/wPyc=")</f>
        <v>#VALUE!</v>
      </c>
      <c r="AO67" t="e">
        <f>AND(Tareas!I1,"AAAAAH/wPyg=")</f>
        <v>#VALUE!</v>
      </c>
      <c r="AP67" t="e">
        <f>AND(Tareas!J1,"AAAAAH/wPyk=")</f>
        <v>#VALUE!</v>
      </c>
      <c r="AQ67" t="e">
        <f>AND(Tareas!G2,"AAAAAH/wPyo=")</f>
        <v>#VALUE!</v>
      </c>
      <c r="AR67" t="e">
        <f>AND(Tareas!#REF!,"AAAAAH/wPys=")</f>
        <v>#REF!</v>
      </c>
      <c r="AS67" t="e">
        <f>AND(Tareas!#REF!,"AAAAAH/wPyw=")</f>
        <v>#REF!</v>
      </c>
      <c r="AT67" t="e">
        <f>AND(Tareas!#REF!,"AAAAAH/wPy0=")</f>
        <v>#REF!</v>
      </c>
      <c r="AU67" t="e">
        <f>AND(Tareas!H2,"AAAAAH/wPy4=")</f>
        <v>#VALUE!</v>
      </c>
      <c r="AV67" t="e">
        <f>AND(Tareas!I2,"AAAAAH/wPy8=")</f>
        <v>#VALUE!</v>
      </c>
      <c r="AW67" t="e">
        <f>AND(Tareas!J2,"AAAAAH/wPzA=")</f>
        <v>#VALUE!</v>
      </c>
      <c r="AX67" t="e">
        <f>AND(Tareas!G3,"AAAAAH/wPzE=")</f>
        <v>#VALUE!</v>
      </c>
      <c r="AY67" t="e">
        <f>AND(Tareas!#REF!,"AAAAAH/wPzI=")</f>
        <v>#REF!</v>
      </c>
      <c r="AZ67" t="e">
        <f>AND(Tareas!#REF!,"AAAAAH/wPzM=")</f>
        <v>#REF!</v>
      </c>
      <c r="BA67" t="e">
        <f>AND(Tareas!#REF!,"AAAAAH/wPzQ=")</f>
        <v>#REF!</v>
      </c>
      <c r="BB67" t="e">
        <f>AND(Tareas!H3,"AAAAAH/wPzU=")</f>
        <v>#VALUE!</v>
      </c>
      <c r="BC67" t="e">
        <f>AND(Tareas!I3,"AAAAAH/wPzY=")</f>
        <v>#VALUE!</v>
      </c>
      <c r="BD67" t="e">
        <f>AND(Tareas!J3,"AAAAAH/wPzc=")</f>
        <v>#VALUE!</v>
      </c>
      <c r="BE67" t="b">
        <f>AND(Tareas!G5,"AAAAAH/wPzg=")</f>
        <v>1</v>
      </c>
      <c r="BF67" t="e">
        <f>AND(Tareas!#REF!,"AAAAAH/wPzk=")</f>
        <v>#REF!</v>
      </c>
      <c r="BG67" t="e">
        <f>AND(Tareas!#REF!,"AAAAAH/wPzo=")</f>
        <v>#REF!</v>
      </c>
      <c r="BH67" t="e">
        <f>AND(Tareas!#REF!,"AAAAAH/wPzs=")</f>
        <v>#REF!</v>
      </c>
      <c r="BI67" t="b">
        <f>AND(Tareas!H5,"AAAAAH/wPzw=")</f>
        <v>1</v>
      </c>
      <c r="BJ67" t="b">
        <f>AND(Tareas!I5,"AAAAAH/wPz0=")</f>
        <v>1</v>
      </c>
      <c r="BK67" t="b">
        <f>AND(Tareas!J5,"AAAAAH/wPz4=")</f>
        <v>1</v>
      </c>
      <c r="BL67" t="b">
        <f>AND(Tareas!G6,"AAAAAH/wPz8=")</f>
        <v>1</v>
      </c>
      <c r="BM67" t="e">
        <f>AND(Tareas!#REF!,"AAAAAH/wP0A=")</f>
        <v>#REF!</v>
      </c>
      <c r="BN67" t="e">
        <f>AND(Tareas!#REF!,"AAAAAH/wP0E=")</f>
        <v>#REF!</v>
      </c>
      <c r="BO67" t="e">
        <f>AND(Tareas!#REF!,"AAAAAH/wP0I=")</f>
        <v>#REF!</v>
      </c>
      <c r="BP67" t="b">
        <f>AND(Tareas!H6,"AAAAAH/wP0M=")</f>
        <v>1</v>
      </c>
      <c r="BQ67" t="b">
        <f>AND(Tareas!I6,"AAAAAH/wP0Q=")</f>
        <v>1</v>
      </c>
      <c r="BR67" t="b">
        <f>AND(Tareas!J6,"AAAAAH/wP0U=")</f>
        <v>1</v>
      </c>
      <c r="BS67" t="b">
        <f>AND(Tareas!G7,"AAAAAH/wP0Y=")</f>
        <v>0</v>
      </c>
      <c r="BT67" t="e">
        <f>AND(Tareas!#REF!,"AAAAAH/wP0c=")</f>
        <v>#REF!</v>
      </c>
      <c r="BU67" t="e">
        <f>AND(Tareas!#REF!,"AAAAAH/wP0g=")</f>
        <v>#REF!</v>
      </c>
      <c r="BV67" t="e">
        <f>AND(Tareas!#REF!,"AAAAAH/wP0k=")</f>
        <v>#REF!</v>
      </c>
      <c r="BW67" t="b">
        <f>AND(Tareas!H7,"AAAAAH/wP0o=")</f>
        <v>0</v>
      </c>
      <c r="BX67" t="b">
        <f>AND(Tareas!I7,"AAAAAH/wP0s=")</f>
        <v>0</v>
      </c>
      <c r="BY67" t="b">
        <f>AND(Tareas!J7,"AAAAAH/wP0w=")</f>
        <v>0</v>
      </c>
      <c r="BZ67" t="e">
        <f>AND(Tareas!#REF!,"AAAAAH/wP00=")</f>
        <v>#REF!</v>
      </c>
      <c r="CA67" t="e">
        <f>AND(Tareas!#REF!,"AAAAAH/wP04=")</f>
        <v>#REF!</v>
      </c>
      <c r="CB67" t="e">
        <f>AND(Tareas!#REF!,"AAAAAH/wP08=")</f>
        <v>#REF!</v>
      </c>
      <c r="CC67" t="e">
        <f>AND(Tareas!#REF!,"AAAAAH/wP1A=")</f>
        <v>#REF!</v>
      </c>
      <c r="CD67" t="e">
        <f>AND(Tareas!#REF!,"AAAAAH/wP1E=")</f>
        <v>#REF!</v>
      </c>
      <c r="CE67" t="e">
        <f>AND(Tareas!#REF!,"AAAAAH/wP1I=")</f>
        <v>#REF!</v>
      </c>
      <c r="CF67" t="e">
        <f>AND(Tareas!#REF!,"AAAAAH/wP1M=")</f>
        <v>#REF!</v>
      </c>
      <c r="CG67" t="b">
        <f>AND(Tareas!G8,"AAAAAH/wP1Q=")</f>
        <v>1</v>
      </c>
      <c r="CH67" t="e">
        <f>AND(Tareas!#REF!,"AAAAAH/wP1U=")</f>
        <v>#REF!</v>
      </c>
      <c r="CI67" t="e">
        <f>AND(Tareas!#REF!,"AAAAAH/wP1Y=")</f>
        <v>#REF!</v>
      </c>
      <c r="CJ67" t="e">
        <f>AND(Tareas!#REF!,"AAAAAH/wP1c=")</f>
        <v>#REF!</v>
      </c>
      <c r="CK67" t="b">
        <f>AND(Tareas!H8,"AAAAAH/wP1g=")</f>
        <v>1</v>
      </c>
      <c r="CL67" t="b">
        <f>AND(Tareas!I8,"AAAAAH/wP1k=")</f>
        <v>1</v>
      </c>
      <c r="CM67" t="b">
        <f>AND(Tareas!J8,"AAAAAH/wP1o=")</f>
        <v>1</v>
      </c>
      <c r="CN67" t="b">
        <f>AND(Tareas!G9,"AAAAAH/wP1s=")</f>
        <v>0</v>
      </c>
      <c r="CO67" t="e">
        <f>AND(Tareas!#REF!,"AAAAAH/wP1w=")</f>
        <v>#REF!</v>
      </c>
      <c r="CP67" t="e">
        <f>AND(Tareas!#REF!,"AAAAAH/wP10=")</f>
        <v>#REF!</v>
      </c>
      <c r="CQ67" t="e">
        <f>AND(Tareas!#REF!,"AAAAAH/wP14=")</f>
        <v>#REF!</v>
      </c>
      <c r="CR67" t="b">
        <f>AND(Tareas!H9,"AAAAAH/wP18=")</f>
        <v>0</v>
      </c>
      <c r="CS67" t="b">
        <f>AND(Tareas!I9,"AAAAAH/wP2A=")</f>
        <v>0</v>
      </c>
      <c r="CT67" t="b">
        <f>AND(Tareas!J9,"AAAAAH/wP2E=")</f>
        <v>0</v>
      </c>
      <c r="CU67" t="b">
        <f>AND(Tareas!G10,"AAAAAH/wP2I=")</f>
        <v>1</v>
      </c>
      <c r="CV67" t="e">
        <f>AND(Tareas!#REF!,"AAAAAH/wP2M=")</f>
        <v>#REF!</v>
      </c>
      <c r="CW67" t="e">
        <f>AND(Tareas!#REF!,"AAAAAH/wP2Q=")</f>
        <v>#REF!</v>
      </c>
      <c r="CX67" t="e">
        <f>AND(Tareas!#REF!,"AAAAAH/wP2U=")</f>
        <v>#REF!</v>
      </c>
      <c r="CY67" t="b">
        <f>AND(Tareas!H10,"AAAAAH/wP2Y=")</f>
        <v>1</v>
      </c>
      <c r="CZ67" t="b">
        <f>AND(Tareas!I10,"AAAAAH/wP2c=")</f>
        <v>1</v>
      </c>
      <c r="DA67" t="b">
        <f>AND(Tareas!J10,"AAAAAH/wP2g=")</f>
        <v>1</v>
      </c>
      <c r="DB67" t="b">
        <f>AND(Tareas!G11,"AAAAAH/wP2k=")</f>
        <v>1</v>
      </c>
      <c r="DC67" t="e">
        <f>AND(Tareas!#REF!,"AAAAAH/wP2o=")</f>
        <v>#REF!</v>
      </c>
      <c r="DD67" t="e">
        <f>AND(Tareas!#REF!,"AAAAAH/wP2s=")</f>
        <v>#REF!</v>
      </c>
      <c r="DE67" t="e">
        <f>AND(Tareas!#REF!,"AAAAAH/wP2w=")</f>
        <v>#REF!</v>
      </c>
      <c r="DF67" t="b">
        <f>AND(Tareas!H11,"AAAAAH/wP20=")</f>
        <v>1</v>
      </c>
      <c r="DG67" t="b">
        <f>AND(Tareas!I11,"AAAAAH/wP24=")</f>
        <v>1</v>
      </c>
      <c r="DH67" t="b">
        <f>AND(Tareas!J11,"AAAAAH/wP28=")</f>
        <v>1</v>
      </c>
      <c r="DI67" t="b">
        <f>AND(Tareas!G12,"AAAAAH/wP3A=")</f>
        <v>1</v>
      </c>
      <c r="DJ67" t="e">
        <f>AND(Tareas!#REF!,"AAAAAH/wP3E=")</f>
        <v>#REF!</v>
      </c>
      <c r="DK67" t="e">
        <f>AND(Tareas!#REF!,"AAAAAH/wP3I=")</f>
        <v>#REF!</v>
      </c>
      <c r="DL67" t="e">
        <f>AND(Tareas!#REF!,"AAAAAH/wP3M=")</f>
        <v>#REF!</v>
      </c>
      <c r="DM67" t="b">
        <f>AND(Tareas!H12,"AAAAAH/wP3Q=")</f>
        <v>1</v>
      </c>
      <c r="DN67" t="b">
        <f>AND(Tareas!I12,"AAAAAH/wP3U=")</f>
        <v>1</v>
      </c>
      <c r="DO67" t="b">
        <f>AND(Tareas!J12,"AAAAAH/wP3Y=")</f>
        <v>1</v>
      </c>
      <c r="DP67" t="b">
        <f>AND(Tareas!G13,"AAAAAH/wP3c=")</f>
        <v>1</v>
      </c>
      <c r="DQ67" t="e">
        <f>AND(Tareas!#REF!,"AAAAAH/wP3g=")</f>
        <v>#REF!</v>
      </c>
      <c r="DR67" t="e">
        <f>AND(Tareas!#REF!,"AAAAAH/wP3k=")</f>
        <v>#REF!</v>
      </c>
      <c r="DS67" t="e">
        <f>AND(Tareas!#REF!,"AAAAAH/wP3o=")</f>
        <v>#REF!</v>
      </c>
      <c r="DT67" t="b">
        <f>AND(Tareas!H13,"AAAAAH/wP3s=")</f>
        <v>1</v>
      </c>
      <c r="DU67" t="b">
        <f>AND(Tareas!I13,"AAAAAH/wP3w=")</f>
        <v>1</v>
      </c>
      <c r="DV67" t="b">
        <f>AND(Tareas!J13,"AAAAAH/wP30=")</f>
        <v>1</v>
      </c>
      <c r="DW67" t="b">
        <f>AND(Tareas!G14,"AAAAAH/wP34=")</f>
        <v>1</v>
      </c>
      <c r="DX67" t="e">
        <f>AND(Tareas!#REF!,"AAAAAH/wP38=")</f>
        <v>#REF!</v>
      </c>
      <c r="DY67" t="e">
        <f>AND(Tareas!#REF!,"AAAAAH/wP4A=")</f>
        <v>#REF!</v>
      </c>
      <c r="DZ67" t="e">
        <f>AND(Tareas!#REF!,"AAAAAH/wP4E=")</f>
        <v>#REF!</v>
      </c>
      <c r="EA67" t="b">
        <f>AND(Tareas!H14,"AAAAAH/wP4I=")</f>
        <v>1</v>
      </c>
      <c r="EB67" t="b">
        <f>AND(Tareas!I14,"AAAAAH/wP4M=")</f>
        <v>1</v>
      </c>
      <c r="EC67" t="b">
        <f>AND(Tareas!J14,"AAAAAH/wP4Q=")</f>
        <v>1</v>
      </c>
      <c r="ED67" t="b">
        <f>AND(Tareas!G15,"AAAAAH/wP4U=")</f>
        <v>1</v>
      </c>
      <c r="EE67" t="e">
        <f>AND(Tareas!#REF!,"AAAAAH/wP4Y=")</f>
        <v>#REF!</v>
      </c>
      <c r="EF67" t="e">
        <f>AND(Tareas!#REF!,"AAAAAH/wP4c=")</f>
        <v>#REF!</v>
      </c>
      <c r="EG67" t="e">
        <f>AND(Tareas!#REF!,"AAAAAH/wP4g=")</f>
        <v>#REF!</v>
      </c>
      <c r="EH67" t="b">
        <f>AND(Tareas!H15,"AAAAAH/wP4k=")</f>
        <v>1</v>
      </c>
      <c r="EI67" t="b">
        <f>AND(Tareas!I15,"AAAAAH/wP4o=")</f>
        <v>1</v>
      </c>
      <c r="EJ67" t="b">
        <f>AND(Tareas!J15,"AAAAAH/wP4s=")</f>
        <v>1</v>
      </c>
      <c r="EK67" t="b">
        <f>AND(Tareas!G16,"AAAAAH/wP4w=")</f>
        <v>1</v>
      </c>
      <c r="EL67" t="e">
        <f>AND(Tareas!#REF!,"AAAAAH/wP40=")</f>
        <v>#REF!</v>
      </c>
      <c r="EM67" t="e">
        <f>AND(Tareas!#REF!,"AAAAAH/wP44=")</f>
        <v>#REF!</v>
      </c>
      <c r="EN67" t="e">
        <f>AND(Tareas!#REF!,"AAAAAH/wP48=")</f>
        <v>#REF!</v>
      </c>
      <c r="EO67" t="b">
        <f>AND(Tareas!H16,"AAAAAH/wP5A=")</f>
        <v>1</v>
      </c>
      <c r="EP67" t="b">
        <f>AND(Tareas!I16,"AAAAAH/wP5E=")</f>
        <v>1</v>
      </c>
      <c r="EQ67" t="b">
        <f>AND(Tareas!J16,"AAAAAH/wP5I=")</f>
        <v>1</v>
      </c>
      <c r="ER67" t="b">
        <f>AND(Tareas!G17,"AAAAAH/wP5M=")</f>
        <v>1</v>
      </c>
      <c r="ES67" t="e">
        <f>AND(Tareas!#REF!,"AAAAAH/wP5Q=")</f>
        <v>#REF!</v>
      </c>
      <c r="ET67" t="e">
        <f>AND(Tareas!#REF!,"AAAAAH/wP5U=")</f>
        <v>#REF!</v>
      </c>
      <c r="EU67" t="e">
        <f>AND(Tareas!#REF!,"AAAAAH/wP5Y=")</f>
        <v>#REF!</v>
      </c>
      <c r="EV67" t="b">
        <f>AND(Tareas!H17,"AAAAAH/wP5c=")</f>
        <v>1</v>
      </c>
      <c r="EW67" t="b">
        <f>AND(Tareas!I17,"AAAAAH/wP5g=")</f>
        <v>1</v>
      </c>
      <c r="EX67" t="b">
        <f>AND(Tareas!J17,"AAAAAH/wP5k=")</f>
        <v>1</v>
      </c>
      <c r="EY67" t="b">
        <f>AND(Tareas!G18,"AAAAAH/wP5o=")</f>
        <v>1</v>
      </c>
      <c r="EZ67" t="e">
        <f>AND(Tareas!#REF!,"AAAAAH/wP5s=")</f>
        <v>#REF!</v>
      </c>
      <c r="FA67" t="e">
        <f>AND(Tareas!#REF!,"AAAAAH/wP5w=")</f>
        <v>#REF!</v>
      </c>
      <c r="FB67" t="e">
        <f>AND(Tareas!#REF!,"AAAAAH/wP50=")</f>
        <v>#REF!</v>
      </c>
      <c r="FC67" t="b">
        <f>AND(Tareas!H18,"AAAAAH/wP54=")</f>
        <v>1</v>
      </c>
      <c r="FD67" t="b">
        <f>AND(Tareas!I18,"AAAAAH/wP58=")</f>
        <v>1</v>
      </c>
      <c r="FE67" t="b">
        <f>AND(Tareas!J18,"AAAAAH/wP6A=")</f>
        <v>1</v>
      </c>
      <c r="FF67" t="e">
        <f>AND(Tareas!#REF!,"AAAAAH/wP6E=")</f>
        <v>#REF!</v>
      </c>
      <c r="FG67" t="e">
        <f>AND(Tareas!#REF!,"AAAAAH/wP6I=")</f>
        <v>#REF!</v>
      </c>
      <c r="FH67" t="e">
        <f>AND(Tareas!#REF!,"AAAAAH/wP6M=")</f>
        <v>#REF!</v>
      </c>
      <c r="FI67" t="e">
        <f>AND(Tareas!#REF!,"AAAAAH/wP6Q=")</f>
        <v>#REF!</v>
      </c>
      <c r="FJ67" t="e">
        <f>AND(Tareas!#REF!,"AAAAAH/wP6U=")</f>
        <v>#REF!</v>
      </c>
      <c r="FK67" t="e">
        <f>AND(Tareas!#REF!,"AAAAAH/wP6Y=")</f>
        <v>#REF!</v>
      </c>
      <c r="FL67" t="e">
        <f>AND(Tareas!#REF!,"AAAAAH/wP6c=")</f>
        <v>#REF!</v>
      </c>
      <c r="FM67" t="e">
        <f>AND(Tareas!#REF!,"AAAAAH/wP6g=")</f>
        <v>#REF!</v>
      </c>
      <c r="FN67" t="e">
        <f>AND(Tareas!#REF!,"AAAAAH/wP6k=")</f>
        <v>#REF!</v>
      </c>
      <c r="FO67" t="e">
        <f>AND(Tareas!#REF!,"AAAAAH/wP6o=")</f>
        <v>#REF!</v>
      </c>
      <c r="FP67" t="e">
        <f>AND(Tareas!#REF!,"AAAAAH/wP6s=")</f>
        <v>#REF!</v>
      </c>
      <c r="FQ67" t="e">
        <f>AND(Tareas!#REF!,"AAAAAH/wP6w=")</f>
        <v>#REF!</v>
      </c>
      <c r="FR67" t="e">
        <f>AND(Tareas!#REF!,"AAAAAH/wP60=")</f>
        <v>#REF!</v>
      </c>
      <c r="FS67" t="e">
        <f>AND(Tareas!#REF!,"AAAAAH/wP64=")</f>
        <v>#REF!</v>
      </c>
      <c r="FT67" t="e">
        <f>AND(Tareas!#REF!,"AAAAAH/wP68=")</f>
        <v>#REF!</v>
      </c>
      <c r="FU67" t="e">
        <f>AND(Tareas!#REF!,"AAAAAH/wP7A=")</f>
        <v>#REF!</v>
      </c>
      <c r="FV67" t="e">
        <f>AND(Tareas!#REF!,"AAAAAH/wP7E=")</f>
        <v>#REF!</v>
      </c>
      <c r="FW67" t="e">
        <f>AND(Tareas!#REF!,"AAAAAH/wP7I=")</f>
        <v>#REF!</v>
      </c>
      <c r="FX67" t="e">
        <f>AND(Tareas!#REF!,"AAAAAH/wP7M=")</f>
        <v>#REF!</v>
      </c>
      <c r="FY67" t="e">
        <f>AND(Tareas!#REF!,"AAAAAH/wP7Q=")</f>
        <v>#REF!</v>
      </c>
      <c r="FZ67" t="e">
        <f>AND(Tareas!#REF!,"AAAAAH/wP7U=")</f>
        <v>#REF!</v>
      </c>
      <c r="GA67" t="e">
        <f>AND(Tareas!#REF!,"AAAAAH/wP7Y=")</f>
        <v>#REF!</v>
      </c>
      <c r="GB67" t="e">
        <f>AND(Tareas!#REF!,"AAAAAH/wP7c=")</f>
        <v>#REF!</v>
      </c>
      <c r="GC67" t="e">
        <f>AND(Tareas!#REF!,"AAAAAH/wP7g=")</f>
        <v>#REF!</v>
      </c>
      <c r="GD67" t="e">
        <f>AND(Tareas!#REF!,"AAAAAH/wP7k=")</f>
        <v>#REF!</v>
      </c>
      <c r="GE67" t="e">
        <f>AND(Tareas!#REF!,"AAAAAH/wP7o=")</f>
        <v>#REF!</v>
      </c>
      <c r="GF67" t="e">
        <f>AND(Tareas!#REF!,"AAAAAH/wP7s=")</f>
        <v>#REF!</v>
      </c>
      <c r="GG67" t="e">
        <f>AND(Tareas!#REF!,"AAAAAH/wP7w=")</f>
        <v>#REF!</v>
      </c>
      <c r="GH67" t="e">
        <f>AND(Tareas!#REF!,"AAAAAH/wP70=")</f>
        <v>#REF!</v>
      </c>
      <c r="GI67" t="e">
        <f>AND(Tareas!#REF!,"AAAAAH/wP74=")</f>
        <v>#REF!</v>
      </c>
      <c r="GJ67" t="e">
        <f>AND(Tareas!#REF!,"AAAAAH/wP78=")</f>
        <v>#REF!</v>
      </c>
      <c r="GK67" t="e">
        <f>AND(Tareas!#REF!,"AAAAAH/wP8A=")</f>
        <v>#REF!</v>
      </c>
      <c r="GL67" t="e">
        <f>AND(Tareas!#REF!,"AAAAAH/wP8E=")</f>
        <v>#REF!</v>
      </c>
      <c r="GM67" t="e">
        <f>AND(Tareas!#REF!,"AAAAAH/wP8I=")</f>
        <v>#REF!</v>
      </c>
      <c r="GN67" t="e">
        <f>AND(Tareas!#REF!,"AAAAAH/wP8M=")</f>
        <v>#REF!</v>
      </c>
      <c r="GO67" t="e">
        <f>AND(Tareas!#REF!,"AAAAAH/wP8Q=")</f>
        <v>#REF!</v>
      </c>
      <c r="GP67" t="e">
        <f>AND(Tareas!#REF!,"AAAAAH/wP8U=")</f>
        <v>#REF!</v>
      </c>
      <c r="GQ67" t="e">
        <f>AND(Tareas!#REF!,"AAAAAH/wP8Y=")</f>
        <v>#REF!</v>
      </c>
      <c r="GR67" t="e">
        <f>AND(Tareas!#REF!,"AAAAAH/wP8c=")</f>
        <v>#REF!</v>
      </c>
      <c r="GS67" t="e">
        <f>AND(Tareas!#REF!,"AAAAAH/wP8g=")</f>
        <v>#REF!</v>
      </c>
      <c r="GT67" t="e">
        <f>AND(Tareas!#REF!,"AAAAAH/wP8k=")</f>
        <v>#REF!</v>
      </c>
      <c r="GU67" t="e">
        <f>AND(Tareas!#REF!,"AAAAAH/wP8o=")</f>
        <v>#REF!</v>
      </c>
      <c r="GV67" t="e">
        <f>AND(Tareas!#REF!,"AAAAAH/wP8s=")</f>
        <v>#REF!</v>
      </c>
      <c r="GW67" t="e">
        <f>AND(Tareas!#REF!,"AAAAAH/wP8w=")</f>
        <v>#REF!</v>
      </c>
      <c r="GX67" t="e">
        <f>AND(Tareas!#REF!,"AAAAAH/wP80=")</f>
        <v>#REF!</v>
      </c>
      <c r="GY67" t="e">
        <f>AND(Tareas!#REF!,"AAAAAH/wP84=")</f>
        <v>#REF!</v>
      </c>
      <c r="GZ67" t="e">
        <f>AND(Tareas!#REF!,"AAAAAH/wP88=")</f>
        <v>#REF!</v>
      </c>
      <c r="HA67" t="e">
        <f>AND(Tareas!#REF!,"AAAAAH/wP9A=")</f>
        <v>#REF!</v>
      </c>
      <c r="HB67" t="e">
        <f>AND(Tareas!#REF!,"AAAAAH/wP9E=")</f>
        <v>#REF!</v>
      </c>
      <c r="HC67" t="e">
        <f>AND(Tareas!#REF!,"AAAAAH/wP9I=")</f>
        <v>#REF!</v>
      </c>
      <c r="HD67" t="e">
        <f>AND(Tareas!#REF!,"AAAAAH/wP9M=")</f>
        <v>#REF!</v>
      </c>
      <c r="HE67" t="e">
        <f>AND(Tareas!#REF!,"AAAAAH/wP9Q=")</f>
        <v>#REF!</v>
      </c>
      <c r="HF67" t="e">
        <f>AND(Tareas!#REF!,"AAAAAH/wP9U=")</f>
        <v>#REF!</v>
      </c>
      <c r="HG67" t="e">
        <f>AND(Tareas!#REF!,"AAAAAH/wP9Y=")</f>
        <v>#REF!</v>
      </c>
      <c r="HH67" t="e">
        <f>AND(Tareas!#REF!,"AAAAAH/wP9c=")</f>
        <v>#REF!</v>
      </c>
      <c r="HI67" t="e">
        <f>AND(Tareas!#REF!,"AAAAAH/wP9g=")</f>
        <v>#REF!</v>
      </c>
      <c r="HJ67">
        <f>IF(Tareas!19:19,"AAAAAH/wP9k=",0)</f>
        <v>0</v>
      </c>
    </row>
    <row r="68" spans="1:256" x14ac:dyDescent="0.35">
      <c r="A68" t="e">
        <f>IF(#REF!,"AAAAAH+M9QA=",0)</f>
        <v>#REF!</v>
      </c>
      <c r="B68" t="e">
        <f>AND(#REF!,"AAAAAH+M9QE=")</f>
        <v>#REF!</v>
      </c>
      <c r="C68" t="e">
        <f>IF(#REF!,"AAAAAH+M9QI=",0)</f>
        <v>#REF!</v>
      </c>
      <c r="D68" t="e">
        <f>AND(#REF!,"AAAAAH+M9QM=")</f>
        <v>#REF!</v>
      </c>
      <c r="E68" t="e">
        <f>IF(#REF!,"AAAAAH+M9QQ=",0)</f>
        <v>#REF!</v>
      </c>
      <c r="F68" t="e">
        <f>AND(#REF!,"AAAAAH+M9QU=")</f>
        <v>#REF!</v>
      </c>
      <c r="G68" t="e">
        <f>IF(#REF!,"AAAAAH+M9QY=",0)</f>
        <v>#REF!</v>
      </c>
      <c r="H68" t="e">
        <f>AND(#REF!,"AAAAAH+M9Qc=")</f>
        <v>#REF!</v>
      </c>
      <c r="I68" t="e">
        <f>IF(#REF!,"AAAAAH+M9Qg=",0)</f>
        <v>#REF!</v>
      </c>
      <c r="J68" t="e">
        <f>AND(#REF!,"AAAAAH+M9Qk=")</f>
        <v>#REF!</v>
      </c>
      <c r="K68" t="e">
        <f>IF(#REF!,"AAAAAH+M9Qo=",0)</f>
        <v>#REF!</v>
      </c>
      <c r="L68" t="e">
        <f>AND(#REF!,"AAAAAH+M9Qs=")</f>
        <v>#REF!</v>
      </c>
      <c r="M68" t="e">
        <f>IF(#REF!,"AAAAAH+M9Qw=",0)</f>
        <v>#REF!</v>
      </c>
      <c r="N68" t="e">
        <f>AND(#REF!,"AAAAAH+M9Q0=")</f>
        <v>#REF!</v>
      </c>
      <c r="O68" t="e">
        <f>IF(#REF!,"AAAAAH+M9Q4=",0)</f>
        <v>#REF!</v>
      </c>
      <c r="P68" t="e">
        <f>AND(#REF!,"AAAAAH+M9Q8=")</f>
        <v>#REF!</v>
      </c>
      <c r="Q68" t="e">
        <f>IF(#REF!,"AAAAAH+M9RA=",0)</f>
        <v>#REF!</v>
      </c>
      <c r="R68" t="e">
        <f>AND(#REF!,"AAAAAH+M9RE=")</f>
        <v>#REF!</v>
      </c>
      <c r="S68" t="e">
        <f>IF(#REF!,"AAAAAH+M9RI=",0)</f>
        <v>#REF!</v>
      </c>
      <c r="T68" t="e">
        <f>AND(#REF!,"AAAAAH+M9RM=")</f>
        <v>#REF!</v>
      </c>
      <c r="U68" t="e">
        <f>IF(#REF!,"AAAAAH+M9RQ=",0)</f>
        <v>#REF!</v>
      </c>
      <c r="V68" t="e">
        <f>AND(#REF!,"AAAAAH+M9RU=")</f>
        <v>#REF!</v>
      </c>
      <c r="W68" t="e">
        <f>IF(#REF!,"AAAAAH+M9RY=",0)</f>
        <v>#REF!</v>
      </c>
      <c r="X68" t="e">
        <f>AND(#REF!,"AAAAAH+M9Rc=")</f>
        <v>#REF!</v>
      </c>
      <c r="Y68" t="e">
        <f>IF(#REF!,"AAAAAH+M9Rg=",0)</f>
        <v>#REF!</v>
      </c>
      <c r="Z68" t="e">
        <f>AND(#REF!,"AAAAAH+M9Rk=")</f>
        <v>#REF!</v>
      </c>
      <c r="AA68" t="e">
        <f>IF(#REF!,"AAAAAH+M9Ro=",0)</f>
        <v>#REF!</v>
      </c>
      <c r="AB68" t="e">
        <f>AND(#REF!,"AAAAAH+M9Rs=")</f>
        <v>#REF!</v>
      </c>
      <c r="AC68" t="e">
        <f>IF(#REF!,"AAAAAH+M9Rw=",0)</f>
        <v>#REF!</v>
      </c>
      <c r="AD68" t="e">
        <f>AND(#REF!,"AAAAAH+M9R0=")</f>
        <v>#REF!</v>
      </c>
      <c r="AE68" t="e">
        <f>IF(#REF!,"AAAAAH+M9R4=",0)</f>
        <v>#REF!</v>
      </c>
      <c r="AF68" t="e">
        <f>AND(#REF!,"AAAAAH+M9R8=")</f>
        <v>#REF!</v>
      </c>
      <c r="AG68" t="e">
        <f>IF(#REF!,"AAAAAH+M9SA=",0)</f>
        <v>#REF!</v>
      </c>
      <c r="AH68" t="e">
        <f>AND(#REF!,"AAAAAH+M9SE=")</f>
        <v>#REF!</v>
      </c>
      <c r="AI68" t="e">
        <f>IF(#REF!,"AAAAAH+M9SI=",0)</f>
        <v>#REF!</v>
      </c>
      <c r="AJ68" t="e">
        <f>AND(#REF!,"AAAAAH+M9SM=")</f>
        <v>#REF!</v>
      </c>
      <c r="AK68" t="e">
        <f>IF(#REF!,"AAAAAH+M9SQ=",0)</f>
        <v>#REF!</v>
      </c>
      <c r="AL68" t="e">
        <f>AND(#REF!,"AAAAAH+M9SU=")</f>
        <v>#REF!</v>
      </c>
      <c r="AM68" t="e">
        <f>IF(#REF!,"AAAAAH+M9SY=",0)</f>
        <v>#REF!</v>
      </c>
      <c r="AN68" t="e">
        <f>AND(#REF!,"AAAAAH+M9Sc=")</f>
        <v>#REF!</v>
      </c>
      <c r="AO68" t="e">
        <f>IF(#REF!,"AAAAAH+M9Sg=",0)</f>
        <v>#REF!</v>
      </c>
      <c r="AP68" t="e">
        <f>AND(#REF!,"AAAAAH+M9Sk=")</f>
        <v>#REF!</v>
      </c>
      <c r="AQ68" t="e">
        <f>IF(#REF!,"AAAAAH+M9So=",0)</f>
        <v>#REF!</v>
      </c>
      <c r="AR68" t="e">
        <f>AND(#REF!,"AAAAAH+M9Ss=")</f>
        <v>#REF!</v>
      </c>
      <c r="AS68" t="e">
        <f>IF(#REF!,"AAAAAH+M9Sw=",0)</f>
        <v>#REF!</v>
      </c>
      <c r="AT68" t="e">
        <f>AND(#REF!,"AAAAAH+M9S0=")</f>
        <v>#REF!</v>
      </c>
      <c r="AU68" t="e">
        <f>IF(#REF!,"AAAAAH+M9S4=",0)</f>
        <v>#REF!</v>
      </c>
      <c r="AV68" t="e">
        <f>AND(#REF!,"AAAAAH+M9S8=")</f>
        <v>#REF!</v>
      </c>
      <c r="AW68" t="e">
        <f>IF(#REF!,"AAAAAH+M9TA=",0)</f>
        <v>#REF!</v>
      </c>
      <c r="AX68" t="e">
        <f>AND(#REF!,"AAAAAH+M9TE=")</f>
        <v>#REF!</v>
      </c>
      <c r="AY68" t="e">
        <f>IF(#REF!,"AAAAAH+M9TI=",0)</f>
        <v>#REF!</v>
      </c>
      <c r="AZ68" t="e">
        <f>AND(#REF!,"AAAAAH+M9TM=")</f>
        <v>#REF!</v>
      </c>
      <c r="BA68" t="e">
        <f>IF(#REF!,"AAAAAH+M9TQ=",0)</f>
        <v>#REF!</v>
      </c>
      <c r="BB68" t="e">
        <f>AND(#REF!,"AAAAAH+M9TU=")</f>
        <v>#REF!</v>
      </c>
      <c r="BC68" t="e">
        <f>IF(#REF!,"AAAAAH+M9TY=",0)</f>
        <v>#REF!</v>
      </c>
      <c r="BD68" t="e">
        <f>AND(#REF!,"AAAAAH+M9Tc=")</f>
        <v>#REF!</v>
      </c>
      <c r="BE68" t="e">
        <f>IF(#REF!,"AAAAAH+M9Tg=",0)</f>
        <v>#REF!</v>
      </c>
      <c r="BF68" t="e">
        <f>AND(#REF!,"AAAAAH+M9Tk=")</f>
        <v>#REF!</v>
      </c>
      <c r="BG68" t="e">
        <f>IF(#REF!,"AAAAAH+M9To=",0)</f>
        <v>#REF!</v>
      </c>
      <c r="BH68" t="e">
        <f>AND(#REF!,"AAAAAH+M9Ts=")</f>
        <v>#REF!</v>
      </c>
      <c r="BI68" t="e">
        <f>IF(#REF!,"AAAAAH+M9Tw=",0)</f>
        <v>#REF!</v>
      </c>
      <c r="BJ68" t="e">
        <f>AND(#REF!,"AAAAAH+M9T0=")</f>
        <v>#REF!</v>
      </c>
      <c r="BK68" t="e">
        <f>IF(#REF!,"AAAAAH+M9T4=",0)</f>
        <v>#REF!</v>
      </c>
      <c r="BL68" t="e">
        <f>AND(#REF!,"AAAAAH+M9T8=")</f>
        <v>#REF!</v>
      </c>
      <c r="BM68" t="e">
        <f>IF(#REF!,"AAAAAH+M9UA=",0)</f>
        <v>#REF!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D4E36-0255-4E4D-925C-66FD350205BF}">
  <dimension ref="A1:O92"/>
  <sheetViews>
    <sheetView workbookViewId="0">
      <pane xSplit="1" ySplit="3" topLeftCell="C58" activePane="bottomRight" state="frozen"/>
      <selection pane="topRight" activeCell="C1" sqref="C1"/>
      <selection pane="bottomLeft" activeCell="A9" sqref="A9"/>
      <selection pane="bottomRight" activeCell="O90" sqref="O90"/>
    </sheetView>
  </sheetViews>
  <sheetFormatPr baseColWidth="10" defaultColWidth="11.3984375" defaultRowHeight="12.75" x14ac:dyDescent="0.35"/>
  <cols>
    <col min="1" max="1" width="7.73046875" style="11" customWidth="1"/>
    <col min="2" max="9" width="11.59765625" style="11" customWidth="1"/>
    <col min="10" max="10" width="36.06640625" style="11" bestFit="1" customWidth="1"/>
    <col min="11" max="16384" width="11.3984375" style="11"/>
  </cols>
  <sheetData>
    <row r="1" spans="1:12" ht="15" x14ac:dyDescent="0.4">
      <c r="A1" s="70" t="s">
        <v>134</v>
      </c>
      <c r="B1" s="70"/>
      <c r="C1" s="70"/>
      <c r="D1" s="70"/>
      <c r="E1" s="70"/>
      <c r="F1" s="70"/>
      <c r="G1" s="70"/>
      <c r="H1" s="70"/>
    </row>
    <row r="2" spans="1:12" ht="13.15" x14ac:dyDescent="0.4">
      <c r="A2" s="12"/>
      <c r="B2" s="13"/>
      <c r="C2" s="13"/>
      <c r="D2" s="13"/>
      <c r="E2" s="53"/>
    </row>
    <row r="3" spans="1:12" x14ac:dyDescent="0.35">
      <c r="A3" s="21" t="s">
        <v>2</v>
      </c>
      <c r="B3" s="34">
        <v>1</v>
      </c>
      <c r="C3" s="34">
        <v>2</v>
      </c>
      <c r="D3" s="34">
        <v>3</v>
      </c>
      <c r="E3" s="35">
        <v>4</v>
      </c>
      <c r="F3" s="34">
        <v>5</v>
      </c>
      <c r="G3" s="34">
        <v>6</v>
      </c>
      <c r="H3" s="21" t="s">
        <v>18</v>
      </c>
      <c r="J3" s="15" t="s">
        <v>19</v>
      </c>
      <c r="K3" s="15" t="s">
        <v>20</v>
      </c>
      <c r="L3" s="61" t="s">
        <v>78</v>
      </c>
    </row>
    <row r="4" spans="1:12" ht="13.15" x14ac:dyDescent="0.4">
      <c r="A4" s="5" t="s">
        <v>81</v>
      </c>
      <c r="B4" s="36">
        <v>90</v>
      </c>
      <c r="C4" s="36">
        <v>90</v>
      </c>
      <c r="D4" s="36">
        <v>90</v>
      </c>
      <c r="E4" s="36">
        <v>90</v>
      </c>
      <c r="F4" s="36">
        <v>90</v>
      </c>
      <c r="G4" s="36">
        <v>90</v>
      </c>
      <c r="H4" s="16">
        <f>B4*0.15+C4*0.1+D4*0.2+E4*0.2+F4*0.2+G4*0.15</f>
        <v>90</v>
      </c>
      <c r="I4" s="63">
        <v>3</v>
      </c>
      <c r="J4" s="54" t="s">
        <v>120</v>
      </c>
      <c r="K4" s="30">
        <v>15</v>
      </c>
      <c r="L4" s="62">
        <f>K4*10/$K$10/100</f>
        <v>1.4999999999999999E-2</v>
      </c>
    </row>
    <row r="5" spans="1:12" ht="13.15" x14ac:dyDescent="0.4">
      <c r="A5" s="5" t="s">
        <v>82</v>
      </c>
      <c r="B5" s="36">
        <v>90</v>
      </c>
      <c r="C5" s="36">
        <v>100</v>
      </c>
      <c r="D5" s="36">
        <v>100</v>
      </c>
      <c r="E5" s="36">
        <v>100</v>
      </c>
      <c r="F5" s="36">
        <v>100</v>
      </c>
      <c r="G5" s="36">
        <v>100</v>
      </c>
      <c r="H5" s="16">
        <f t="shared" ref="H5:H30" si="0">B5*0.15+C5*0.1+D5*0.2+E5*0.2+F5*0.2+G5*0.15</f>
        <v>98.5</v>
      </c>
      <c r="I5" s="63">
        <v>6</v>
      </c>
      <c r="J5" s="54" t="s">
        <v>128</v>
      </c>
      <c r="K5" s="30">
        <v>10</v>
      </c>
      <c r="L5" s="62">
        <f>K5*10/$K$10/100</f>
        <v>0.01</v>
      </c>
    </row>
    <row r="6" spans="1:12" ht="26.25" x14ac:dyDescent="0.4">
      <c r="A6" s="5" t="s">
        <v>83</v>
      </c>
      <c r="B6" s="36">
        <v>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60">
        <f t="shared" si="0"/>
        <v>0</v>
      </c>
      <c r="I6" s="63" t="s">
        <v>147</v>
      </c>
      <c r="J6" s="55" t="s">
        <v>129</v>
      </c>
      <c r="K6" s="30">
        <v>20</v>
      </c>
      <c r="L6" s="62">
        <f t="shared" ref="L6:L9" si="1">K6*10/$K$10/100</f>
        <v>0.02</v>
      </c>
    </row>
    <row r="7" spans="1:12" ht="13.15" x14ac:dyDescent="0.4">
      <c r="A7" s="5" t="s">
        <v>84</v>
      </c>
      <c r="B7" s="36">
        <v>100</v>
      </c>
      <c r="C7" s="36">
        <v>90</v>
      </c>
      <c r="D7" s="36">
        <v>100</v>
      </c>
      <c r="E7" s="36">
        <v>100</v>
      </c>
      <c r="F7" s="36">
        <v>100</v>
      </c>
      <c r="G7" s="36">
        <v>100</v>
      </c>
      <c r="H7" s="16">
        <f t="shared" si="0"/>
        <v>99</v>
      </c>
      <c r="I7" s="63">
        <v>1</v>
      </c>
      <c r="J7" s="54" t="s">
        <v>130</v>
      </c>
      <c r="K7" s="30">
        <v>20</v>
      </c>
      <c r="L7" s="62">
        <f t="shared" si="1"/>
        <v>0.02</v>
      </c>
    </row>
    <row r="8" spans="1:12" ht="13.15" x14ac:dyDescent="0.4">
      <c r="A8" s="5" t="s">
        <v>138</v>
      </c>
      <c r="B8" s="36">
        <v>95</v>
      </c>
      <c r="C8" s="36">
        <v>100</v>
      </c>
      <c r="D8" s="36">
        <v>95</v>
      </c>
      <c r="E8" s="36">
        <v>100</v>
      </c>
      <c r="F8" s="36">
        <v>95</v>
      </c>
      <c r="G8" s="36">
        <v>100</v>
      </c>
      <c r="H8" s="16">
        <f t="shared" si="0"/>
        <v>97.25</v>
      </c>
      <c r="I8" s="63">
        <v>10</v>
      </c>
      <c r="J8" s="54" t="s">
        <v>131</v>
      </c>
      <c r="K8" s="30">
        <v>20</v>
      </c>
      <c r="L8" s="62">
        <f t="shared" si="1"/>
        <v>0.02</v>
      </c>
    </row>
    <row r="9" spans="1:12" ht="13.15" x14ac:dyDescent="0.4">
      <c r="A9" s="5" t="s">
        <v>85</v>
      </c>
      <c r="B9" s="36">
        <v>0</v>
      </c>
      <c r="C9" s="36">
        <v>100</v>
      </c>
      <c r="D9" s="36">
        <v>100</v>
      </c>
      <c r="E9" s="36">
        <v>100</v>
      </c>
      <c r="F9" s="36">
        <v>100</v>
      </c>
      <c r="G9" s="36">
        <v>100</v>
      </c>
      <c r="H9" s="16">
        <f t="shared" si="0"/>
        <v>85</v>
      </c>
      <c r="I9" s="63">
        <v>9</v>
      </c>
      <c r="J9" s="54" t="s">
        <v>132</v>
      </c>
      <c r="K9" s="30">
        <v>15</v>
      </c>
      <c r="L9" s="62">
        <f t="shared" si="1"/>
        <v>1.4999999999999999E-2</v>
      </c>
    </row>
    <row r="10" spans="1:12" ht="13.15" x14ac:dyDescent="0.4">
      <c r="A10" s="5" t="s">
        <v>86</v>
      </c>
      <c r="B10" s="36">
        <v>100</v>
      </c>
      <c r="C10" s="36">
        <v>100</v>
      </c>
      <c r="D10" s="36">
        <v>100</v>
      </c>
      <c r="E10" s="36">
        <v>100</v>
      </c>
      <c r="F10" s="36">
        <v>100</v>
      </c>
      <c r="G10" s="36">
        <v>100</v>
      </c>
      <c r="H10" s="16">
        <f t="shared" si="0"/>
        <v>100</v>
      </c>
      <c r="I10" s="63">
        <v>7</v>
      </c>
      <c r="J10" s="56" t="s">
        <v>21</v>
      </c>
      <c r="K10" s="57">
        <f>SUM(K4:K9)</f>
        <v>100</v>
      </c>
      <c r="L10" s="58">
        <f>SUM(L4:L9)</f>
        <v>0.1</v>
      </c>
    </row>
    <row r="11" spans="1:12" ht="13.15" x14ac:dyDescent="0.4">
      <c r="A11" s="5" t="s">
        <v>87</v>
      </c>
      <c r="B11" s="36">
        <v>100</v>
      </c>
      <c r="C11" s="36">
        <v>100</v>
      </c>
      <c r="D11" s="36">
        <v>100</v>
      </c>
      <c r="E11" s="36">
        <v>100</v>
      </c>
      <c r="F11" s="36">
        <v>95</v>
      </c>
      <c r="G11" s="36">
        <v>100</v>
      </c>
      <c r="H11" s="16">
        <f t="shared" si="0"/>
        <v>99</v>
      </c>
      <c r="I11" s="63">
        <v>12</v>
      </c>
    </row>
    <row r="12" spans="1:12" ht="13.15" x14ac:dyDescent="0.4">
      <c r="A12" s="5" t="s">
        <v>88</v>
      </c>
      <c r="B12" s="36">
        <v>100</v>
      </c>
      <c r="C12" s="36">
        <v>100</v>
      </c>
      <c r="D12" s="36">
        <v>100</v>
      </c>
      <c r="E12" s="36">
        <v>100</v>
      </c>
      <c r="F12" s="36">
        <v>100</v>
      </c>
      <c r="G12" s="36">
        <v>100</v>
      </c>
      <c r="H12" s="16">
        <f t="shared" si="0"/>
        <v>100</v>
      </c>
      <c r="I12" s="63">
        <v>11</v>
      </c>
    </row>
    <row r="13" spans="1:12" ht="13.15" x14ac:dyDescent="0.4">
      <c r="A13" s="5" t="s">
        <v>139</v>
      </c>
      <c r="B13" s="36">
        <v>90</v>
      </c>
      <c r="C13" s="36">
        <v>100</v>
      </c>
      <c r="D13" s="36">
        <v>100</v>
      </c>
      <c r="E13" s="36">
        <v>100</v>
      </c>
      <c r="F13" s="36">
        <v>100</v>
      </c>
      <c r="G13" s="36">
        <v>100</v>
      </c>
      <c r="H13" s="16">
        <f t="shared" si="0"/>
        <v>98.5</v>
      </c>
      <c r="I13" s="63">
        <v>4</v>
      </c>
    </row>
    <row r="14" spans="1:12" ht="13.15" x14ac:dyDescent="0.4">
      <c r="A14" s="5" t="s">
        <v>89</v>
      </c>
      <c r="B14" s="36">
        <v>90</v>
      </c>
      <c r="C14" s="36">
        <v>100</v>
      </c>
      <c r="D14" s="36">
        <v>100</v>
      </c>
      <c r="E14" s="36">
        <v>100</v>
      </c>
      <c r="F14" s="36">
        <v>100</v>
      </c>
      <c r="G14" s="36">
        <v>100</v>
      </c>
      <c r="H14" s="16">
        <f t="shared" si="0"/>
        <v>98.5</v>
      </c>
      <c r="I14" s="63">
        <v>6</v>
      </c>
    </row>
    <row r="15" spans="1:12" ht="13.15" x14ac:dyDescent="0.4">
      <c r="A15" s="5" t="s">
        <v>90</v>
      </c>
      <c r="B15" s="36">
        <v>0</v>
      </c>
      <c r="C15" s="36">
        <v>100</v>
      </c>
      <c r="D15" s="36">
        <v>100</v>
      </c>
      <c r="E15" s="36">
        <v>100</v>
      </c>
      <c r="F15" s="36">
        <v>100</v>
      </c>
      <c r="G15" s="36">
        <v>100</v>
      </c>
      <c r="H15" s="16">
        <f t="shared" si="0"/>
        <v>85</v>
      </c>
      <c r="I15" s="63">
        <v>9</v>
      </c>
    </row>
    <row r="16" spans="1:12" ht="13.15" x14ac:dyDescent="0.4">
      <c r="A16" s="5" t="s">
        <v>91</v>
      </c>
      <c r="B16" s="36">
        <v>100</v>
      </c>
      <c r="C16" s="36">
        <v>100</v>
      </c>
      <c r="D16" s="36">
        <v>100</v>
      </c>
      <c r="E16" s="36">
        <v>100</v>
      </c>
      <c r="F16" s="36">
        <v>100</v>
      </c>
      <c r="G16" s="36">
        <v>100</v>
      </c>
      <c r="H16" s="16">
        <f t="shared" si="0"/>
        <v>100</v>
      </c>
      <c r="I16" s="63">
        <v>8</v>
      </c>
    </row>
    <row r="17" spans="1:13" ht="13.15" x14ac:dyDescent="0.4">
      <c r="A17" s="5" t="s">
        <v>92</v>
      </c>
      <c r="B17" s="36">
        <v>90</v>
      </c>
      <c r="C17" s="36">
        <v>100</v>
      </c>
      <c r="D17" s="36">
        <v>90</v>
      </c>
      <c r="E17" s="36">
        <v>100</v>
      </c>
      <c r="F17" s="36">
        <v>100</v>
      </c>
      <c r="G17" s="36">
        <v>100</v>
      </c>
      <c r="H17" s="16">
        <f t="shared" si="0"/>
        <v>96.5</v>
      </c>
      <c r="I17" s="63">
        <v>5</v>
      </c>
    </row>
    <row r="18" spans="1:13" ht="13.15" x14ac:dyDescent="0.4">
      <c r="A18" s="5" t="s">
        <v>93</v>
      </c>
      <c r="B18" s="36">
        <v>100</v>
      </c>
      <c r="C18" s="36">
        <v>100</v>
      </c>
      <c r="D18" s="36">
        <v>100</v>
      </c>
      <c r="E18" s="36">
        <v>100</v>
      </c>
      <c r="F18" s="36">
        <v>100</v>
      </c>
      <c r="G18" s="36">
        <v>100</v>
      </c>
      <c r="H18" s="16">
        <f t="shared" si="0"/>
        <v>100</v>
      </c>
      <c r="I18" s="63">
        <v>11</v>
      </c>
    </row>
    <row r="19" spans="1:13" ht="13.15" x14ac:dyDescent="0.4">
      <c r="A19" s="5" t="s">
        <v>94</v>
      </c>
      <c r="B19" s="36">
        <v>90</v>
      </c>
      <c r="C19" s="36">
        <v>90</v>
      </c>
      <c r="D19" s="36">
        <v>90</v>
      </c>
      <c r="E19" s="36">
        <v>90</v>
      </c>
      <c r="F19" s="36">
        <v>90</v>
      </c>
      <c r="G19" s="36">
        <v>90</v>
      </c>
      <c r="H19" s="16">
        <f t="shared" si="0"/>
        <v>90</v>
      </c>
      <c r="I19" s="63">
        <v>2</v>
      </c>
    </row>
    <row r="20" spans="1:13" ht="13.15" x14ac:dyDescent="0.4">
      <c r="A20" s="5" t="s">
        <v>140</v>
      </c>
      <c r="B20" s="36">
        <v>90</v>
      </c>
      <c r="C20" s="36">
        <v>100</v>
      </c>
      <c r="D20" s="36">
        <v>90</v>
      </c>
      <c r="E20" s="36">
        <v>100</v>
      </c>
      <c r="F20" s="36">
        <v>100</v>
      </c>
      <c r="G20" s="36">
        <v>100</v>
      </c>
      <c r="H20" s="16">
        <f t="shared" si="0"/>
        <v>96.5</v>
      </c>
      <c r="I20" s="63">
        <v>5</v>
      </c>
    </row>
    <row r="21" spans="1:13" ht="13.15" x14ac:dyDescent="0.4">
      <c r="A21" s="5" t="s">
        <v>95</v>
      </c>
      <c r="B21" s="36">
        <v>90</v>
      </c>
      <c r="C21" s="36">
        <v>90</v>
      </c>
      <c r="D21" s="36">
        <v>90</v>
      </c>
      <c r="E21" s="36">
        <v>90</v>
      </c>
      <c r="F21" s="36">
        <v>90</v>
      </c>
      <c r="G21" s="36">
        <v>90</v>
      </c>
      <c r="H21" s="16">
        <f t="shared" si="0"/>
        <v>90</v>
      </c>
      <c r="I21" s="63">
        <v>2</v>
      </c>
    </row>
    <row r="22" spans="1:13" ht="13.15" x14ac:dyDescent="0.4">
      <c r="A22" s="5" t="s">
        <v>96</v>
      </c>
      <c r="B22" s="36">
        <v>100</v>
      </c>
      <c r="C22" s="36">
        <v>90</v>
      </c>
      <c r="D22" s="36">
        <v>100</v>
      </c>
      <c r="E22" s="36">
        <v>100</v>
      </c>
      <c r="F22" s="36">
        <v>100</v>
      </c>
      <c r="G22" s="36">
        <v>100</v>
      </c>
      <c r="H22" s="16">
        <f t="shared" si="0"/>
        <v>99</v>
      </c>
      <c r="I22" s="63">
        <v>1</v>
      </c>
    </row>
    <row r="23" spans="1:13" ht="13.15" x14ac:dyDescent="0.4">
      <c r="A23" s="5" t="s">
        <v>141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16">
        <f t="shared" si="0"/>
        <v>0</v>
      </c>
      <c r="I23" s="63" t="s">
        <v>147</v>
      </c>
    </row>
    <row r="24" spans="1:13" ht="13.15" x14ac:dyDescent="0.4">
      <c r="A24" s="5" t="s">
        <v>142</v>
      </c>
      <c r="B24" s="36">
        <v>95</v>
      </c>
      <c r="C24" s="36">
        <v>100</v>
      </c>
      <c r="D24" s="36">
        <v>95</v>
      </c>
      <c r="E24" s="36">
        <v>100</v>
      </c>
      <c r="F24" s="36">
        <v>95</v>
      </c>
      <c r="G24" s="36">
        <v>100</v>
      </c>
      <c r="H24" s="16">
        <f t="shared" si="0"/>
        <v>97.25</v>
      </c>
      <c r="I24" s="63">
        <v>10</v>
      </c>
    </row>
    <row r="25" spans="1:13" ht="13.15" x14ac:dyDescent="0.4">
      <c r="A25" s="5" t="s">
        <v>143</v>
      </c>
      <c r="B25" s="36">
        <v>95</v>
      </c>
      <c r="C25" s="36">
        <v>100</v>
      </c>
      <c r="D25" s="36">
        <v>95</v>
      </c>
      <c r="E25" s="36">
        <v>100</v>
      </c>
      <c r="F25" s="36">
        <v>95</v>
      </c>
      <c r="G25" s="36">
        <v>100</v>
      </c>
      <c r="H25" s="16">
        <f t="shared" si="0"/>
        <v>97.25</v>
      </c>
      <c r="I25" s="63">
        <v>10</v>
      </c>
    </row>
    <row r="26" spans="1:13" ht="13.15" x14ac:dyDescent="0.4">
      <c r="A26" s="5" t="s">
        <v>97</v>
      </c>
      <c r="B26" s="36">
        <v>100</v>
      </c>
      <c r="C26" s="36">
        <v>100</v>
      </c>
      <c r="D26" s="36">
        <v>100</v>
      </c>
      <c r="E26" s="36">
        <v>100</v>
      </c>
      <c r="F26" s="36">
        <v>100</v>
      </c>
      <c r="G26" s="36">
        <v>100</v>
      </c>
      <c r="H26" s="16">
        <f t="shared" si="0"/>
        <v>100</v>
      </c>
      <c r="I26" s="63">
        <v>7</v>
      </c>
    </row>
    <row r="27" spans="1:13" ht="13.15" x14ac:dyDescent="0.4">
      <c r="A27" s="5" t="s">
        <v>98</v>
      </c>
      <c r="B27" s="36">
        <v>90</v>
      </c>
      <c r="C27" s="36">
        <v>90</v>
      </c>
      <c r="D27" s="36">
        <v>90</v>
      </c>
      <c r="E27" s="36">
        <v>90</v>
      </c>
      <c r="F27" s="36">
        <v>90</v>
      </c>
      <c r="G27" s="36">
        <v>90</v>
      </c>
      <c r="H27" s="16">
        <f t="shared" si="0"/>
        <v>90</v>
      </c>
      <c r="I27" s="63">
        <v>3</v>
      </c>
    </row>
    <row r="28" spans="1:13" ht="13.15" x14ac:dyDescent="0.4">
      <c r="A28" s="5" t="s">
        <v>144</v>
      </c>
      <c r="B28" s="36">
        <v>90</v>
      </c>
      <c r="C28" s="36">
        <v>100</v>
      </c>
      <c r="D28" s="36">
        <v>100</v>
      </c>
      <c r="E28" s="36">
        <v>100</v>
      </c>
      <c r="F28" s="36">
        <v>100</v>
      </c>
      <c r="G28" s="36">
        <v>100</v>
      </c>
      <c r="H28" s="16">
        <f t="shared" si="0"/>
        <v>98.5</v>
      </c>
      <c r="I28" s="63">
        <v>4</v>
      </c>
    </row>
    <row r="29" spans="1:13" ht="13.15" x14ac:dyDescent="0.4">
      <c r="A29" s="5" t="s">
        <v>99</v>
      </c>
      <c r="B29" s="36">
        <v>100</v>
      </c>
      <c r="C29" s="36">
        <v>100</v>
      </c>
      <c r="D29" s="36">
        <v>100</v>
      </c>
      <c r="E29" s="36">
        <v>100</v>
      </c>
      <c r="F29" s="36">
        <v>95</v>
      </c>
      <c r="G29" s="36">
        <v>100</v>
      </c>
      <c r="H29" s="16">
        <f t="shared" si="0"/>
        <v>99</v>
      </c>
      <c r="I29" s="63">
        <v>12</v>
      </c>
    </row>
    <row r="30" spans="1:13" ht="13.15" x14ac:dyDescent="0.4">
      <c r="A30" s="5" t="s">
        <v>100</v>
      </c>
      <c r="B30" s="36">
        <v>100</v>
      </c>
      <c r="C30" s="36">
        <v>100</v>
      </c>
      <c r="D30" s="36">
        <v>100</v>
      </c>
      <c r="E30" s="36">
        <v>100</v>
      </c>
      <c r="F30" s="36">
        <v>100</v>
      </c>
      <c r="G30" s="36">
        <v>100</v>
      </c>
      <c r="H30" s="16">
        <f t="shared" si="0"/>
        <v>100</v>
      </c>
      <c r="I30" s="63">
        <v>8</v>
      </c>
    </row>
    <row r="32" spans="1:13" x14ac:dyDescent="0.35">
      <c r="A32" s="71" t="s">
        <v>133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</row>
    <row r="33" spans="1:14" x14ac:dyDescent="0.35">
      <c r="A33" s="33"/>
      <c r="B33" s="44">
        <v>44063</v>
      </c>
      <c r="C33" s="44">
        <v>44070</v>
      </c>
      <c r="D33" s="44">
        <v>44077</v>
      </c>
      <c r="E33" s="44">
        <v>44084</v>
      </c>
      <c r="F33" s="44">
        <v>44091</v>
      </c>
      <c r="G33" s="44">
        <v>44095</v>
      </c>
      <c r="H33" s="44">
        <v>44098</v>
      </c>
      <c r="I33" s="44">
        <v>44102</v>
      </c>
      <c r="J33" s="44">
        <v>44105</v>
      </c>
      <c r="K33" s="44">
        <v>44112</v>
      </c>
      <c r="L33" s="44">
        <v>44126</v>
      </c>
      <c r="M33" s="44">
        <v>44130</v>
      </c>
      <c r="N33" s="21" t="s">
        <v>21</v>
      </c>
    </row>
    <row r="34" spans="1:14" ht="13.15" x14ac:dyDescent="0.4">
      <c r="A34" s="5" t="s">
        <v>81</v>
      </c>
      <c r="B34" s="59">
        <v>0</v>
      </c>
      <c r="C34" s="59">
        <v>0</v>
      </c>
      <c r="D34" s="59">
        <v>1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16">
        <f>SUM(B34:M34)</f>
        <v>1</v>
      </c>
    </row>
    <row r="35" spans="1:14" ht="13.15" x14ac:dyDescent="0.4">
      <c r="A35" s="5" t="s">
        <v>82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1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16">
        <f t="shared" ref="N35:N60" si="2">SUM(B35:M35)</f>
        <v>1</v>
      </c>
    </row>
    <row r="36" spans="1:14" ht="13.15" x14ac:dyDescent="0.4">
      <c r="A36" s="5" t="s">
        <v>83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16">
        <f t="shared" si="2"/>
        <v>0</v>
      </c>
    </row>
    <row r="37" spans="1:14" ht="13.15" x14ac:dyDescent="0.4">
      <c r="A37" s="5" t="s">
        <v>84</v>
      </c>
      <c r="B37" s="59">
        <v>1</v>
      </c>
      <c r="C37" s="59">
        <v>0</v>
      </c>
      <c r="D37" s="59">
        <v>0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16">
        <f t="shared" si="2"/>
        <v>1</v>
      </c>
    </row>
    <row r="38" spans="1:14" ht="13.15" x14ac:dyDescent="0.4">
      <c r="A38" s="5" t="s">
        <v>138</v>
      </c>
      <c r="B38" s="59">
        <v>0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1</v>
      </c>
      <c r="L38" s="59">
        <v>0</v>
      </c>
      <c r="M38" s="59">
        <v>0</v>
      </c>
      <c r="N38" s="16">
        <f t="shared" si="2"/>
        <v>1</v>
      </c>
    </row>
    <row r="39" spans="1:14" ht="13.15" x14ac:dyDescent="0.4">
      <c r="A39" s="5" t="s">
        <v>85</v>
      </c>
      <c r="B39" s="59">
        <v>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1</v>
      </c>
      <c r="K39" s="59">
        <v>0</v>
      </c>
      <c r="L39" s="59">
        <v>0</v>
      </c>
      <c r="M39" s="59">
        <v>0</v>
      </c>
      <c r="N39" s="16">
        <f t="shared" si="2"/>
        <v>1</v>
      </c>
    </row>
    <row r="40" spans="1:14" ht="13.15" x14ac:dyDescent="0.4">
      <c r="A40" s="5" t="s">
        <v>86</v>
      </c>
      <c r="B40" s="59">
        <v>0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  <c r="H40" s="59">
        <v>1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16">
        <f t="shared" si="2"/>
        <v>1</v>
      </c>
    </row>
    <row r="41" spans="1:14" ht="13.15" x14ac:dyDescent="0.4">
      <c r="A41" s="5" t="s">
        <v>87</v>
      </c>
      <c r="B41" s="59">
        <v>0</v>
      </c>
      <c r="C41" s="59">
        <v>0</v>
      </c>
      <c r="D41" s="59">
        <v>0</v>
      </c>
      <c r="E41" s="59">
        <v>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1</v>
      </c>
      <c r="N41" s="16">
        <f t="shared" si="2"/>
        <v>1</v>
      </c>
    </row>
    <row r="42" spans="1:14" ht="13.15" x14ac:dyDescent="0.4">
      <c r="A42" s="5" t="s">
        <v>88</v>
      </c>
      <c r="B42" s="59">
        <v>0</v>
      </c>
      <c r="C42" s="59">
        <v>0</v>
      </c>
      <c r="D42" s="59">
        <v>0</v>
      </c>
      <c r="E42" s="59">
        <v>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1</v>
      </c>
      <c r="M42" s="59">
        <v>0</v>
      </c>
      <c r="N42" s="16">
        <f t="shared" si="2"/>
        <v>1</v>
      </c>
    </row>
    <row r="43" spans="1:14" ht="13.15" x14ac:dyDescent="0.4">
      <c r="A43" s="5" t="s">
        <v>139</v>
      </c>
      <c r="B43" s="59">
        <v>0</v>
      </c>
      <c r="C43" s="59">
        <v>0</v>
      </c>
      <c r="D43" s="59">
        <v>0</v>
      </c>
      <c r="E43" s="59">
        <v>1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16">
        <f t="shared" si="2"/>
        <v>1</v>
      </c>
    </row>
    <row r="44" spans="1:14" ht="13.15" x14ac:dyDescent="0.4">
      <c r="A44" s="5" t="s">
        <v>89</v>
      </c>
      <c r="B44" s="59">
        <v>0</v>
      </c>
      <c r="C44" s="59">
        <v>0</v>
      </c>
      <c r="D44" s="59">
        <v>0</v>
      </c>
      <c r="E44" s="59">
        <v>0</v>
      </c>
      <c r="F44" s="59">
        <v>0</v>
      </c>
      <c r="G44" s="59">
        <v>1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16">
        <f t="shared" si="2"/>
        <v>1</v>
      </c>
    </row>
    <row r="45" spans="1:14" ht="13.15" x14ac:dyDescent="0.4">
      <c r="A45" s="5" t="s">
        <v>90</v>
      </c>
      <c r="B45" s="59">
        <v>0</v>
      </c>
      <c r="C45" s="59">
        <v>0</v>
      </c>
      <c r="D45" s="59">
        <v>0</v>
      </c>
      <c r="E45" s="59">
        <v>0</v>
      </c>
      <c r="F45" s="59">
        <v>0</v>
      </c>
      <c r="G45" s="59">
        <v>0</v>
      </c>
      <c r="H45" s="59">
        <v>0</v>
      </c>
      <c r="I45" s="59">
        <v>0</v>
      </c>
      <c r="J45" s="59">
        <v>1</v>
      </c>
      <c r="K45" s="59">
        <v>0</v>
      </c>
      <c r="L45" s="59">
        <v>0</v>
      </c>
      <c r="M45" s="59">
        <v>0</v>
      </c>
      <c r="N45" s="16">
        <f t="shared" si="2"/>
        <v>1</v>
      </c>
    </row>
    <row r="46" spans="1:14" ht="13.15" x14ac:dyDescent="0.4">
      <c r="A46" s="5" t="s">
        <v>91</v>
      </c>
      <c r="B46" s="59">
        <v>0</v>
      </c>
      <c r="C46" s="59">
        <v>0</v>
      </c>
      <c r="D46" s="59">
        <v>0</v>
      </c>
      <c r="E46" s="59">
        <v>0</v>
      </c>
      <c r="F46" s="59">
        <v>0</v>
      </c>
      <c r="G46" s="59">
        <v>0</v>
      </c>
      <c r="H46" s="59">
        <v>0</v>
      </c>
      <c r="I46" s="59">
        <v>1</v>
      </c>
      <c r="J46" s="59">
        <v>0</v>
      </c>
      <c r="K46" s="59">
        <v>0</v>
      </c>
      <c r="L46" s="59">
        <v>0</v>
      </c>
      <c r="M46" s="59">
        <v>0</v>
      </c>
      <c r="N46" s="16">
        <f t="shared" si="2"/>
        <v>1</v>
      </c>
    </row>
    <row r="47" spans="1:14" ht="13.15" x14ac:dyDescent="0.4">
      <c r="A47" s="5" t="s">
        <v>92</v>
      </c>
      <c r="B47" s="59">
        <v>0</v>
      </c>
      <c r="C47" s="59">
        <v>0</v>
      </c>
      <c r="D47" s="59">
        <v>0</v>
      </c>
      <c r="E47" s="59">
        <v>0</v>
      </c>
      <c r="F47" s="59">
        <v>1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16">
        <f t="shared" si="2"/>
        <v>1</v>
      </c>
    </row>
    <row r="48" spans="1:14" ht="13.15" x14ac:dyDescent="0.4">
      <c r="A48" s="5" t="s">
        <v>93</v>
      </c>
      <c r="B48" s="59">
        <v>0</v>
      </c>
      <c r="C48" s="59">
        <v>0</v>
      </c>
      <c r="D48" s="59">
        <v>0</v>
      </c>
      <c r="E48" s="59">
        <v>0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  <c r="L48" s="59">
        <v>1</v>
      </c>
      <c r="M48" s="59">
        <v>0</v>
      </c>
      <c r="N48" s="16">
        <f t="shared" si="2"/>
        <v>1</v>
      </c>
    </row>
    <row r="49" spans="1:15" ht="13.15" x14ac:dyDescent="0.4">
      <c r="A49" s="5" t="s">
        <v>94</v>
      </c>
      <c r="B49" s="59">
        <v>0</v>
      </c>
      <c r="C49" s="59">
        <v>1</v>
      </c>
      <c r="D49" s="59">
        <v>0</v>
      </c>
      <c r="E49" s="59">
        <v>0</v>
      </c>
      <c r="F49" s="59">
        <v>0</v>
      </c>
      <c r="G49" s="59">
        <v>0</v>
      </c>
      <c r="H49" s="59">
        <v>0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  <c r="N49" s="16">
        <f t="shared" si="2"/>
        <v>1</v>
      </c>
    </row>
    <row r="50" spans="1:15" ht="13.15" x14ac:dyDescent="0.4">
      <c r="A50" s="5" t="s">
        <v>140</v>
      </c>
      <c r="B50" s="59">
        <v>0</v>
      </c>
      <c r="C50" s="59">
        <v>0</v>
      </c>
      <c r="D50" s="59">
        <v>0</v>
      </c>
      <c r="E50" s="59">
        <v>0</v>
      </c>
      <c r="F50" s="59">
        <v>1</v>
      </c>
      <c r="G50" s="59">
        <v>0</v>
      </c>
      <c r="H50" s="59">
        <v>0</v>
      </c>
      <c r="I50" s="59">
        <v>0</v>
      </c>
      <c r="J50" s="59">
        <v>0</v>
      </c>
      <c r="K50" s="59">
        <v>0</v>
      </c>
      <c r="L50" s="59">
        <v>0</v>
      </c>
      <c r="M50" s="59">
        <v>0</v>
      </c>
      <c r="N50" s="16">
        <f t="shared" si="2"/>
        <v>1</v>
      </c>
    </row>
    <row r="51" spans="1:15" ht="13.15" x14ac:dyDescent="0.4">
      <c r="A51" s="5" t="s">
        <v>95</v>
      </c>
      <c r="B51" s="59">
        <v>0</v>
      </c>
      <c r="C51" s="59">
        <v>1</v>
      </c>
      <c r="D51" s="59">
        <v>0</v>
      </c>
      <c r="E51" s="59">
        <v>0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  <c r="L51" s="59">
        <v>0</v>
      </c>
      <c r="M51" s="59">
        <v>0</v>
      </c>
      <c r="N51" s="16">
        <f t="shared" si="2"/>
        <v>1</v>
      </c>
    </row>
    <row r="52" spans="1:15" ht="13.15" x14ac:dyDescent="0.4">
      <c r="A52" s="5" t="s">
        <v>96</v>
      </c>
      <c r="B52" s="59">
        <v>1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16">
        <f t="shared" si="2"/>
        <v>1</v>
      </c>
    </row>
    <row r="53" spans="1:15" ht="13.15" x14ac:dyDescent="0.4">
      <c r="A53" s="5" t="s">
        <v>141</v>
      </c>
      <c r="B53" s="59">
        <v>0</v>
      </c>
      <c r="C53" s="59">
        <v>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16">
        <f t="shared" si="2"/>
        <v>0</v>
      </c>
    </row>
    <row r="54" spans="1:15" ht="13.15" x14ac:dyDescent="0.4">
      <c r="A54" s="5" t="s">
        <v>142</v>
      </c>
      <c r="B54" s="59">
        <v>0</v>
      </c>
      <c r="C54" s="59">
        <v>0</v>
      </c>
      <c r="D54" s="59">
        <v>0</v>
      </c>
      <c r="E54" s="59">
        <v>0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1</v>
      </c>
      <c r="L54" s="59">
        <v>0</v>
      </c>
      <c r="M54" s="59">
        <v>0</v>
      </c>
      <c r="N54" s="16">
        <f t="shared" si="2"/>
        <v>1</v>
      </c>
    </row>
    <row r="55" spans="1:15" ht="13.15" x14ac:dyDescent="0.4">
      <c r="A55" s="5" t="s">
        <v>143</v>
      </c>
      <c r="B55" s="59">
        <v>0</v>
      </c>
      <c r="C55" s="59">
        <v>0</v>
      </c>
      <c r="D55" s="59">
        <v>0</v>
      </c>
      <c r="E55" s="59">
        <v>0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1</v>
      </c>
      <c r="L55" s="59">
        <v>0</v>
      </c>
      <c r="M55" s="59">
        <v>0</v>
      </c>
      <c r="N55" s="16">
        <f t="shared" si="2"/>
        <v>1</v>
      </c>
    </row>
    <row r="56" spans="1:15" ht="13.15" x14ac:dyDescent="0.4">
      <c r="A56" s="5" t="s">
        <v>97</v>
      </c>
      <c r="B56" s="59">
        <v>0</v>
      </c>
      <c r="C56" s="59">
        <v>0</v>
      </c>
      <c r="D56" s="59">
        <v>0</v>
      </c>
      <c r="E56" s="59">
        <v>0</v>
      </c>
      <c r="F56" s="59">
        <v>0</v>
      </c>
      <c r="G56" s="59">
        <v>0</v>
      </c>
      <c r="H56" s="59">
        <v>1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16">
        <f t="shared" si="2"/>
        <v>1</v>
      </c>
    </row>
    <row r="57" spans="1:15" ht="13.15" x14ac:dyDescent="0.4">
      <c r="A57" s="5" t="s">
        <v>98</v>
      </c>
      <c r="B57" s="59">
        <v>0</v>
      </c>
      <c r="C57" s="59">
        <v>0</v>
      </c>
      <c r="D57" s="59">
        <v>1</v>
      </c>
      <c r="E57" s="59">
        <v>0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16">
        <f t="shared" si="2"/>
        <v>1</v>
      </c>
    </row>
    <row r="58" spans="1:15" ht="13.15" x14ac:dyDescent="0.4">
      <c r="A58" s="5" t="s">
        <v>144</v>
      </c>
      <c r="B58" s="59">
        <v>0</v>
      </c>
      <c r="C58" s="59">
        <v>0</v>
      </c>
      <c r="D58" s="59">
        <v>0</v>
      </c>
      <c r="E58" s="59">
        <v>1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16">
        <f t="shared" si="2"/>
        <v>1</v>
      </c>
    </row>
    <row r="59" spans="1:15" ht="13.15" x14ac:dyDescent="0.4">
      <c r="A59" s="5" t="s">
        <v>99</v>
      </c>
      <c r="B59" s="59">
        <v>0</v>
      </c>
      <c r="C59" s="59">
        <v>0</v>
      </c>
      <c r="D59" s="59">
        <v>0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1</v>
      </c>
      <c r="N59" s="16">
        <f t="shared" si="2"/>
        <v>1</v>
      </c>
    </row>
    <row r="60" spans="1:15" ht="13.15" x14ac:dyDescent="0.4">
      <c r="A60" s="5" t="s">
        <v>100</v>
      </c>
      <c r="B60" s="59">
        <v>0</v>
      </c>
      <c r="C60" s="59">
        <v>0</v>
      </c>
      <c r="D60" s="59">
        <v>0</v>
      </c>
      <c r="E60" s="59">
        <v>0</v>
      </c>
      <c r="F60" s="59">
        <v>0</v>
      </c>
      <c r="G60" s="59">
        <v>0</v>
      </c>
      <c r="H60" s="59">
        <v>0</v>
      </c>
      <c r="I60" s="59">
        <v>1</v>
      </c>
      <c r="J60" s="59">
        <v>0</v>
      </c>
      <c r="K60" s="59">
        <v>0</v>
      </c>
      <c r="L60" s="59">
        <v>0</v>
      </c>
      <c r="M60" s="59">
        <v>0</v>
      </c>
      <c r="N60" s="16">
        <f t="shared" si="2"/>
        <v>1</v>
      </c>
    </row>
    <row r="62" spans="1:15" x14ac:dyDescent="0.35">
      <c r="A62" s="72" t="s">
        <v>137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</row>
    <row r="63" spans="1:15" x14ac:dyDescent="0.35">
      <c r="A63" s="33"/>
      <c r="B63" s="44">
        <v>44063</v>
      </c>
      <c r="C63" s="44">
        <v>44070</v>
      </c>
      <c r="D63" s="44">
        <v>44077</v>
      </c>
      <c r="E63" s="44">
        <v>44084</v>
      </c>
      <c r="F63" s="44">
        <v>44091</v>
      </c>
      <c r="G63" s="44">
        <v>44095</v>
      </c>
      <c r="H63" s="44">
        <v>44098</v>
      </c>
      <c r="I63" s="44">
        <v>44102</v>
      </c>
      <c r="J63" s="44">
        <v>44105</v>
      </c>
      <c r="K63" s="44">
        <v>44112</v>
      </c>
      <c r="L63" s="44">
        <v>44126</v>
      </c>
      <c r="M63" s="44">
        <v>44130</v>
      </c>
      <c r="N63" s="21" t="s">
        <v>21</v>
      </c>
      <c r="O63" s="21" t="s">
        <v>149</v>
      </c>
    </row>
    <row r="64" spans="1:15" ht="13.15" x14ac:dyDescent="0.4">
      <c r="A64" s="5" t="s">
        <v>81</v>
      </c>
      <c r="B64" s="59">
        <v>0</v>
      </c>
      <c r="C64" s="59">
        <v>0</v>
      </c>
      <c r="D64" s="59">
        <v>0</v>
      </c>
      <c r="E64" s="59">
        <v>0</v>
      </c>
      <c r="F64" s="59">
        <v>1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16">
        <f t="shared" ref="N64:N90" si="3">SUM(B64:M64)</f>
        <v>1</v>
      </c>
      <c r="O64" s="16">
        <f>N64*5/$N$92</f>
        <v>0.10869565217391304</v>
      </c>
    </row>
    <row r="65" spans="1:15" ht="13.15" x14ac:dyDescent="0.4">
      <c r="A65" s="5" t="s">
        <v>82</v>
      </c>
      <c r="B65" s="59">
        <v>0</v>
      </c>
      <c r="C65" s="59">
        <v>0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59">
        <v>1</v>
      </c>
      <c r="K65" s="59">
        <v>1</v>
      </c>
      <c r="L65" s="59">
        <v>0</v>
      </c>
      <c r="M65" s="59">
        <v>0</v>
      </c>
      <c r="N65" s="16">
        <f t="shared" si="3"/>
        <v>2</v>
      </c>
      <c r="O65" s="16">
        <f t="shared" ref="O65:O90" si="4">N65*5/$N$92</f>
        <v>0.21739130434782608</v>
      </c>
    </row>
    <row r="66" spans="1:15" ht="13.15" x14ac:dyDescent="0.4">
      <c r="A66" s="5" t="s">
        <v>83</v>
      </c>
      <c r="B66" s="59">
        <v>0</v>
      </c>
      <c r="C66" s="59">
        <v>0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9">
        <v>0</v>
      </c>
      <c r="J66" s="59">
        <v>0</v>
      </c>
      <c r="K66" s="59">
        <v>0</v>
      </c>
      <c r="L66" s="59">
        <v>0</v>
      </c>
      <c r="M66" s="59">
        <v>0</v>
      </c>
      <c r="N66" s="16">
        <f t="shared" si="3"/>
        <v>0</v>
      </c>
      <c r="O66" s="16">
        <f t="shared" si="4"/>
        <v>0</v>
      </c>
    </row>
    <row r="67" spans="1:15" ht="13.15" x14ac:dyDescent="0.4">
      <c r="A67" s="5" t="s">
        <v>84</v>
      </c>
      <c r="B67" s="59">
        <v>0</v>
      </c>
      <c r="C67" s="59">
        <v>0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16">
        <f t="shared" si="3"/>
        <v>0</v>
      </c>
      <c r="O67" s="16">
        <f t="shared" si="4"/>
        <v>0</v>
      </c>
    </row>
    <row r="68" spans="1:15" ht="13.15" x14ac:dyDescent="0.4">
      <c r="A68" s="5" t="s">
        <v>138</v>
      </c>
      <c r="B68" s="59">
        <v>3</v>
      </c>
      <c r="C68" s="59">
        <v>0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0</v>
      </c>
      <c r="L68" s="59">
        <v>0</v>
      </c>
      <c r="M68" s="59">
        <v>1</v>
      </c>
      <c r="N68" s="16">
        <f t="shared" si="3"/>
        <v>4</v>
      </c>
      <c r="O68" s="16">
        <f t="shared" si="4"/>
        <v>0.43478260869565216</v>
      </c>
    </row>
    <row r="69" spans="1:15" ht="13.15" x14ac:dyDescent="0.4">
      <c r="A69" s="5" t="s">
        <v>85</v>
      </c>
      <c r="B69" s="59">
        <v>0</v>
      </c>
      <c r="C69" s="59">
        <v>0</v>
      </c>
      <c r="D69" s="59">
        <v>0</v>
      </c>
      <c r="E69" s="59">
        <v>3</v>
      </c>
      <c r="F69" s="59">
        <v>0</v>
      </c>
      <c r="G69" s="59">
        <v>0</v>
      </c>
      <c r="H69" s="59">
        <v>0</v>
      </c>
      <c r="I69" s="59">
        <v>0</v>
      </c>
      <c r="J69" s="59">
        <v>0</v>
      </c>
      <c r="K69" s="59">
        <v>1</v>
      </c>
      <c r="L69" s="59">
        <v>1</v>
      </c>
      <c r="M69" s="59">
        <v>0</v>
      </c>
      <c r="N69" s="16">
        <f t="shared" si="3"/>
        <v>5</v>
      </c>
      <c r="O69" s="16">
        <f t="shared" si="4"/>
        <v>0.54347826086956519</v>
      </c>
    </row>
    <row r="70" spans="1:15" ht="13.15" x14ac:dyDescent="0.4">
      <c r="A70" s="5" t="s">
        <v>86</v>
      </c>
      <c r="B70" s="59">
        <v>0</v>
      </c>
      <c r="C70" s="59">
        <v>0</v>
      </c>
      <c r="D70" s="59">
        <v>0</v>
      </c>
      <c r="E70" s="59">
        <v>0</v>
      </c>
      <c r="F70" s="59">
        <v>0</v>
      </c>
      <c r="G70" s="59">
        <v>5</v>
      </c>
      <c r="H70" s="59">
        <v>1</v>
      </c>
      <c r="I70" s="59">
        <v>0</v>
      </c>
      <c r="J70" s="59">
        <v>0</v>
      </c>
      <c r="K70" s="59">
        <v>0</v>
      </c>
      <c r="L70" s="59">
        <v>1</v>
      </c>
      <c r="M70" s="59">
        <v>0</v>
      </c>
      <c r="N70" s="16">
        <f t="shared" si="3"/>
        <v>7</v>
      </c>
      <c r="O70" s="16">
        <f t="shared" si="4"/>
        <v>0.76086956521739135</v>
      </c>
    </row>
    <row r="71" spans="1:15" ht="13.15" x14ac:dyDescent="0.4">
      <c r="A71" s="5" t="s">
        <v>87</v>
      </c>
      <c r="B71" s="59">
        <v>0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3</v>
      </c>
      <c r="M71" s="59">
        <v>0</v>
      </c>
      <c r="N71" s="16">
        <f t="shared" si="3"/>
        <v>3</v>
      </c>
      <c r="O71" s="16">
        <f t="shared" si="4"/>
        <v>0.32608695652173914</v>
      </c>
    </row>
    <row r="72" spans="1:15" ht="13.15" x14ac:dyDescent="0.4">
      <c r="A72" s="5" t="s">
        <v>88</v>
      </c>
      <c r="B72" s="59">
        <v>0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16">
        <f t="shared" si="3"/>
        <v>0</v>
      </c>
      <c r="O72" s="16">
        <f t="shared" si="4"/>
        <v>0</v>
      </c>
    </row>
    <row r="73" spans="1:15" ht="13.15" x14ac:dyDescent="0.4">
      <c r="A73" s="5" t="s">
        <v>139</v>
      </c>
      <c r="B73" s="59">
        <v>0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  <c r="N73" s="16">
        <f t="shared" si="3"/>
        <v>0</v>
      </c>
      <c r="O73" s="16">
        <f t="shared" si="4"/>
        <v>0</v>
      </c>
    </row>
    <row r="74" spans="1:15" ht="13.15" x14ac:dyDescent="0.4">
      <c r="A74" s="5" t="s">
        <v>89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v>0</v>
      </c>
      <c r="H74" s="59">
        <v>0</v>
      </c>
      <c r="I74" s="59">
        <v>1</v>
      </c>
      <c r="J74" s="59">
        <v>0</v>
      </c>
      <c r="K74" s="59">
        <v>0</v>
      </c>
      <c r="L74" s="59">
        <v>0</v>
      </c>
      <c r="M74" s="59">
        <v>0</v>
      </c>
      <c r="N74" s="16">
        <f t="shared" si="3"/>
        <v>1</v>
      </c>
      <c r="O74" s="16">
        <f t="shared" si="4"/>
        <v>0.10869565217391304</v>
      </c>
    </row>
    <row r="75" spans="1:15" ht="13.15" x14ac:dyDescent="0.4">
      <c r="A75" s="5" t="s">
        <v>90</v>
      </c>
      <c r="B75" s="59">
        <v>0</v>
      </c>
      <c r="C75" s="59">
        <v>5</v>
      </c>
      <c r="D75" s="59">
        <v>0</v>
      </c>
      <c r="E75" s="59">
        <v>0</v>
      </c>
      <c r="F75" s="59">
        <v>0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59">
        <v>0</v>
      </c>
      <c r="M75" s="59">
        <v>0</v>
      </c>
      <c r="N75" s="16">
        <f t="shared" si="3"/>
        <v>5</v>
      </c>
      <c r="O75" s="16">
        <f t="shared" si="4"/>
        <v>0.54347826086956519</v>
      </c>
    </row>
    <row r="76" spans="1:15" ht="13.15" x14ac:dyDescent="0.4">
      <c r="A76" s="5" t="s">
        <v>91</v>
      </c>
      <c r="B76" s="59">
        <v>0</v>
      </c>
      <c r="C76" s="59">
        <v>3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0</v>
      </c>
      <c r="M76" s="59">
        <v>0</v>
      </c>
      <c r="N76" s="16">
        <f t="shared" si="3"/>
        <v>3</v>
      </c>
      <c r="O76" s="16">
        <f t="shared" si="4"/>
        <v>0.32608695652173914</v>
      </c>
    </row>
    <row r="77" spans="1:15" ht="13.15" x14ac:dyDescent="0.4">
      <c r="A77" s="5" t="s">
        <v>92</v>
      </c>
      <c r="B77" s="59">
        <v>5</v>
      </c>
      <c r="C77" s="59">
        <v>1</v>
      </c>
      <c r="D77" s="59">
        <v>0</v>
      </c>
      <c r="E77" s="59">
        <v>2</v>
      </c>
      <c r="F77" s="59">
        <v>0</v>
      </c>
      <c r="G77" s="59">
        <v>0</v>
      </c>
      <c r="H77" s="59">
        <v>0</v>
      </c>
      <c r="I77" s="59">
        <v>0</v>
      </c>
      <c r="J77" s="59">
        <v>0</v>
      </c>
      <c r="K77" s="59">
        <v>0</v>
      </c>
      <c r="L77" s="59">
        <v>0</v>
      </c>
      <c r="M77" s="59">
        <v>0</v>
      </c>
      <c r="N77" s="16">
        <f t="shared" si="3"/>
        <v>8</v>
      </c>
      <c r="O77" s="16">
        <f t="shared" si="4"/>
        <v>0.86956521739130432</v>
      </c>
    </row>
    <row r="78" spans="1:15" ht="13.15" x14ac:dyDescent="0.4">
      <c r="A78" s="5" t="s">
        <v>93</v>
      </c>
      <c r="B78" s="59">
        <v>0</v>
      </c>
      <c r="C78" s="59">
        <v>0</v>
      </c>
      <c r="D78" s="59">
        <v>0</v>
      </c>
      <c r="E78" s="59">
        <v>0</v>
      </c>
      <c r="F78" s="59">
        <v>3</v>
      </c>
      <c r="G78" s="59">
        <v>0</v>
      </c>
      <c r="H78" s="59">
        <v>3</v>
      </c>
      <c r="I78" s="59">
        <v>3</v>
      </c>
      <c r="J78" s="59">
        <v>0</v>
      </c>
      <c r="K78" s="59">
        <v>3</v>
      </c>
      <c r="L78" s="59">
        <v>0</v>
      </c>
      <c r="M78" s="59">
        <v>0</v>
      </c>
      <c r="N78" s="16">
        <f t="shared" si="3"/>
        <v>12</v>
      </c>
      <c r="O78" s="16">
        <f t="shared" si="4"/>
        <v>1.3043478260869565</v>
      </c>
    </row>
    <row r="79" spans="1:15" ht="13.15" x14ac:dyDescent="0.4">
      <c r="A79" s="5" t="s">
        <v>94</v>
      </c>
      <c r="B79" s="59">
        <v>0</v>
      </c>
      <c r="C79" s="59">
        <v>0</v>
      </c>
      <c r="D79" s="59">
        <v>0</v>
      </c>
      <c r="E79" s="59">
        <v>0</v>
      </c>
      <c r="F79" s="32">
        <v>4</v>
      </c>
      <c r="G79" s="59">
        <v>0</v>
      </c>
      <c r="H79" s="59">
        <v>0</v>
      </c>
      <c r="I79" s="59">
        <v>0</v>
      </c>
      <c r="J79" s="59">
        <v>0</v>
      </c>
      <c r="K79" s="59">
        <v>0</v>
      </c>
      <c r="L79" s="59">
        <v>0</v>
      </c>
      <c r="M79" s="59">
        <v>0</v>
      </c>
      <c r="N79" s="16">
        <f t="shared" si="3"/>
        <v>4</v>
      </c>
      <c r="O79" s="16">
        <f t="shared" si="4"/>
        <v>0.43478260869565216</v>
      </c>
    </row>
    <row r="80" spans="1:15" ht="13.15" x14ac:dyDescent="0.4">
      <c r="A80" s="5" t="s">
        <v>140</v>
      </c>
      <c r="B80" s="59">
        <v>0</v>
      </c>
      <c r="C80" s="59">
        <v>0</v>
      </c>
      <c r="D80" s="59">
        <v>0</v>
      </c>
      <c r="E80" s="59">
        <v>3</v>
      </c>
      <c r="F80" s="32">
        <v>4</v>
      </c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  <c r="M80" s="59">
        <v>0</v>
      </c>
      <c r="N80" s="16">
        <f t="shared" si="3"/>
        <v>7</v>
      </c>
      <c r="O80" s="16">
        <f t="shared" si="4"/>
        <v>0.76086956521739135</v>
      </c>
    </row>
    <row r="81" spans="1:15" ht="13.15" x14ac:dyDescent="0.4">
      <c r="A81" s="5" t="s">
        <v>95</v>
      </c>
      <c r="B81" s="59">
        <v>1</v>
      </c>
      <c r="C81" s="59">
        <v>0</v>
      </c>
      <c r="D81" s="59">
        <v>5</v>
      </c>
      <c r="E81" s="59">
        <v>5</v>
      </c>
      <c r="F81" s="32">
        <v>4</v>
      </c>
      <c r="G81" s="59">
        <v>1</v>
      </c>
      <c r="H81" s="59">
        <v>5</v>
      </c>
      <c r="I81" s="59">
        <v>5</v>
      </c>
      <c r="J81" s="59">
        <v>5</v>
      </c>
      <c r="K81" s="59">
        <v>5</v>
      </c>
      <c r="L81" s="59">
        <v>5</v>
      </c>
      <c r="M81" s="59">
        <v>5</v>
      </c>
      <c r="N81" s="16">
        <f t="shared" si="3"/>
        <v>46</v>
      </c>
      <c r="O81" s="16">
        <f t="shared" si="4"/>
        <v>5</v>
      </c>
    </row>
    <row r="82" spans="1:15" ht="13.15" x14ac:dyDescent="0.4">
      <c r="A82" s="5" t="s">
        <v>96</v>
      </c>
      <c r="B82" s="59">
        <v>0</v>
      </c>
      <c r="C82" s="59">
        <v>0</v>
      </c>
      <c r="D82" s="59">
        <v>0</v>
      </c>
      <c r="E82" s="59">
        <v>0</v>
      </c>
      <c r="F82" s="59">
        <v>0</v>
      </c>
      <c r="G82" s="59">
        <v>0</v>
      </c>
      <c r="H82" s="59">
        <v>0</v>
      </c>
      <c r="I82" s="59">
        <v>0</v>
      </c>
      <c r="J82" s="59">
        <v>0</v>
      </c>
      <c r="K82" s="59">
        <v>0</v>
      </c>
      <c r="L82" s="59">
        <v>0</v>
      </c>
      <c r="M82" s="59">
        <v>0</v>
      </c>
      <c r="N82" s="16">
        <f t="shared" si="3"/>
        <v>0</v>
      </c>
      <c r="O82" s="16">
        <f t="shared" si="4"/>
        <v>0</v>
      </c>
    </row>
    <row r="83" spans="1:15" ht="13.15" x14ac:dyDescent="0.4">
      <c r="A83" s="5" t="s">
        <v>141</v>
      </c>
      <c r="B83" s="59">
        <v>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16">
        <f t="shared" si="3"/>
        <v>0</v>
      </c>
      <c r="O83" s="16">
        <f t="shared" si="4"/>
        <v>0</v>
      </c>
    </row>
    <row r="84" spans="1:15" ht="13.15" x14ac:dyDescent="0.4">
      <c r="A84" s="5" t="s">
        <v>142</v>
      </c>
      <c r="B84" s="59">
        <v>3</v>
      </c>
      <c r="C84" s="59">
        <v>0</v>
      </c>
      <c r="D84" s="59">
        <v>0</v>
      </c>
      <c r="E84" s="59">
        <v>0</v>
      </c>
      <c r="F84" s="59">
        <v>0</v>
      </c>
      <c r="G84" s="59">
        <v>0</v>
      </c>
      <c r="H84" s="59">
        <v>1</v>
      </c>
      <c r="I84" s="59">
        <v>0</v>
      </c>
      <c r="J84" s="59">
        <v>0</v>
      </c>
      <c r="K84" s="59">
        <v>0</v>
      </c>
      <c r="L84" s="59">
        <v>0</v>
      </c>
      <c r="M84" s="59">
        <v>0</v>
      </c>
      <c r="N84" s="16">
        <f t="shared" si="3"/>
        <v>4</v>
      </c>
      <c r="O84" s="16">
        <f t="shared" si="4"/>
        <v>0.43478260869565216</v>
      </c>
    </row>
    <row r="85" spans="1:15" ht="13.15" x14ac:dyDescent="0.4">
      <c r="A85" s="5" t="s">
        <v>143</v>
      </c>
      <c r="B85" s="59">
        <v>3</v>
      </c>
      <c r="C85" s="59">
        <v>0</v>
      </c>
      <c r="D85" s="59">
        <v>0</v>
      </c>
      <c r="E85" s="59">
        <v>0</v>
      </c>
      <c r="F85" s="59">
        <v>0</v>
      </c>
      <c r="G85" s="59">
        <v>0</v>
      </c>
      <c r="H85" s="59">
        <v>0</v>
      </c>
      <c r="I85" s="59">
        <v>0</v>
      </c>
      <c r="J85" s="59">
        <v>0</v>
      </c>
      <c r="K85" s="59">
        <v>0</v>
      </c>
      <c r="L85" s="59">
        <v>0</v>
      </c>
      <c r="M85" s="59">
        <v>0</v>
      </c>
      <c r="N85" s="16">
        <f t="shared" si="3"/>
        <v>3</v>
      </c>
      <c r="O85" s="16">
        <f t="shared" si="4"/>
        <v>0.32608695652173914</v>
      </c>
    </row>
    <row r="86" spans="1:15" ht="13.15" x14ac:dyDescent="0.4">
      <c r="A86" s="5" t="s">
        <v>97</v>
      </c>
      <c r="B86" s="59">
        <v>0</v>
      </c>
      <c r="C86" s="59">
        <v>0</v>
      </c>
      <c r="D86" s="59">
        <v>0</v>
      </c>
      <c r="E86" s="59">
        <v>0</v>
      </c>
      <c r="F86" s="59">
        <v>0</v>
      </c>
      <c r="G86" s="59">
        <v>3</v>
      </c>
      <c r="H86" s="59">
        <v>3</v>
      </c>
      <c r="I86" s="59">
        <v>0</v>
      </c>
      <c r="J86" s="59">
        <v>0</v>
      </c>
      <c r="K86" s="59">
        <v>5</v>
      </c>
      <c r="L86" s="59">
        <v>0</v>
      </c>
      <c r="M86" s="59">
        <v>5</v>
      </c>
      <c r="N86" s="16">
        <f t="shared" si="3"/>
        <v>16</v>
      </c>
      <c r="O86" s="16">
        <f t="shared" si="4"/>
        <v>1.7391304347826086</v>
      </c>
    </row>
    <row r="87" spans="1:15" ht="13.15" x14ac:dyDescent="0.4">
      <c r="A87" s="5" t="s">
        <v>98</v>
      </c>
      <c r="B87" s="59">
        <v>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16">
        <f t="shared" si="3"/>
        <v>0</v>
      </c>
      <c r="O87" s="16">
        <f t="shared" si="4"/>
        <v>0</v>
      </c>
    </row>
    <row r="88" spans="1:15" ht="13.15" x14ac:dyDescent="0.4">
      <c r="A88" s="5" t="s">
        <v>144</v>
      </c>
      <c r="B88" s="59">
        <v>0</v>
      </c>
      <c r="C88" s="59">
        <v>0</v>
      </c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16">
        <f t="shared" si="3"/>
        <v>0</v>
      </c>
      <c r="O88" s="16">
        <f t="shared" si="4"/>
        <v>0</v>
      </c>
    </row>
    <row r="89" spans="1:15" ht="13.15" x14ac:dyDescent="0.4">
      <c r="A89" s="5" t="s">
        <v>99</v>
      </c>
      <c r="B89" s="59">
        <v>0</v>
      </c>
      <c r="C89" s="59">
        <v>0</v>
      </c>
      <c r="D89" s="59">
        <v>0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16">
        <f t="shared" si="3"/>
        <v>0</v>
      </c>
      <c r="O89" s="16">
        <f t="shared" si="4"/>
        <v>0</v>
      </c>
    </row>
    <row r="90" spans="1:15" ht="13.15" x14ac:dyDescent="0.4">
      <c r="A90" s="5" t="s">
        <v>100</v>
      </c>
      <c r="B90" s="59">
        <v>0</v>
      </c>
      <c r="C90" s="59">
        <v>0</v>
      </c>
      <c r="D90" s="59">
        <v>0</v>
      </c>
      <c r="E90" s="59">
        <v>0</v>
      </c>
      <c r="F90" s="59">
        <v>0</v>
      </c>
      <c r="G90" s="59">
        <v>0</v>
      </c>
      <c r="H90" s="59">
        <v>0</v>
      </c>
      <c r="I90" s="59">
        <v>0</v>
      </c>
      <c r="J90" s="59">
        <v>3</v>
      </c>
      <c r="K90" s="59">
        <v>0</v>
      </c>
      <c r="L90" s="59">
        <v>1</v>
      </c>
      <c r="M90" s="59">
        <v>3</v>
      </c>
      <c r="N90" s="16">
        <f t="shared" si="3"/>
        <v>7</v>
      </c>
      <c r="O90" s="16">
        <f t="shared" si="4"/>
        <v>0.76086956521739135</v>
      </c>
    </row>
    <row r="92" spans="1:15" ht="13.15" x14ac:dyDescent="0.4">
      <c r="N92" s="16">
        <f>MAX(N64:N90)</f>
        <v>46</v>
      </c>
    </row>
  </sheetData>
  <sheetProtection selectLockedCells="1" selectUnlockedCells="1"/>
  <mergeCells count="3">
    <mergeCell ref="A1:H1"/>
    <mergeCell ref="A32:M32"/>
    <mergeCell ref="A62:M62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0"/>
  <sheetViews>
    <sheetView workbookViewId="0">
      <pane xSplit="1" ySplit="3" topLeftCell="B4" activePane="bottomRight" state="frozen"/>
      <selection pane="topRight" activeCell="C1" sqref="C1"/>
      <selection pane="bottomLeft" activeCell="A9" sqref="A9"/>
      <selection pane="bottomRight" activeCell="I23" sqref="I23"/>
    </sheetView>
  </sheetViews>
  <sheetFormatPr baseColWidth="10" defaultRowHeight="12.75" x14ac:dyDescent="0.35"/>
  <cols>
    <col min="1" max="33" width="10.73046875" customWidth="1"/>
    <col min="34" max="255" width="9.06640625" customWidth="1"/>
  </cols>
  <sheetData>
    <row r="1" spans="1:13" ht="15" x14ac:dyDescent="0.4">
      <c r="A1" s="68" t="s">
        <v>113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3.15" x14ac:dyDescent="0.4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5.5" x14ac:dyDescent="0.35">
      <c r="A3" s="24" t="s">
        <v>2</v>
      </c>
      <c r="B3" s="24" t="s">
        <v>104</v>
      </c>
      <c r="C3" s="24" t="s">
        <v>105</v>
      </c>
      <c r="D3" s="24" t="s">
        <v>110</v>
      </c>
      <c r="E3" s="24" t="s">
        <v>106</v>
      </c>
      <c r="F3" s="24" t="s">
        <v>105</v>
      </c>
      <c r="G3" s="24" t="s">
        <v>111</v>
      </c>
      <c r="H3" s="24" t="s">
        <v>107</v>
      </c>
      <c r="I3" s="24" t="s">
        <v>105</v>
      </c>
      <c r="J3" s="24" t="s">
        <v>112</v>
      </c>
      <c r="K3" s="52" t="s">
        <v>79</v>
      </c>
    </row>
    <row r="4" spans="1:13" ht="13.15" x14ac:dyDescent="0.4">
      <c r="A4" s="5" t="s">
        <v>81</v>
      </c>
      <c r="B4" s="25">
        <v>80</v>
      </c>
      <c r="C4" s="25">
        <f>F34</f>
        <v>100</v>
      </c>
      <c r="D4" s="8">
        <f>AVERAGE(B4:C4)</f>
        <v>90</v>
      </c>
      <c r="E4" s="25">
        <v>95</v>
      </c>
      <c r="F4" s="25">
        <f t="shared" ref="F4:F30" si="0">F64</f>
        <v>100</v>
      </c>
      <c r="G4" s="8">
        <f>AVERAGE(E4:F4)</f>
        <v>97.5</v>
      </c>
      <c r="H4" s="25">
        <v>95</v>
      </c>
      <c r="I4" s="25">
        <f t="shared" ref="I4:I5" si="1">F94</f>
        <v>100</v>
      </c>
      <c r="J4" s="8">
        <f>AVERAGE(H4:I4)</f>
        <v>97.5</v>
      </c>
      <c r="K4" s="9">
        <f>(D4*5+G4*12.5+J4*12.5)/30</f>
        <v>96.25</v>
      </c>
      <c r="M4" s="32">
        <v>5</v>
      </c>
    </row>
    <row r="5" spans="1:13" ht="13.15" x14ac:dyDescent="0.4">
      <c r="A5" s="5" t="s">
        <v>82</v>
      </c>
      <c r="B5" s="25">
        <v>95</v>
      </c>
      <c r="C5" s="25">
        <f t="shared" ref="C5:C6" si="2">F35</f>
        <v>100</v>
      </c>
      <c r="D5" s="8">
        <f t="shared" ref="D5:D6" si="3">AVERAGE(B5:C5)</f>
        <v>97.5</v>
      </c>
      <c r="E5" s="25">
        <v>100</v>
      </c>
      <c r="F5" s="25">
        <f t="shared" si="0"/>
        <v>100</v>
      </c>
      <c r="G5" s="8">
        <f t="shared" ref="G5:G6" si="4">AVERAGE(E5:F5)</f>
        <v>100</v>
      </c>
      <c r="H5" s="25">
        <v>95</v>
      </c>
      <c r="I5" s="25">
        <f t="shared" si="1"/>
        <v>100</v>
      </c>
      <c r="J5" s="8">
        <f t="shared" ref="J5:J6" si="5">AVERAGE(H5:I5)</f>
        <v>97.5</v>
      </c>
      <c r="K5" s="9">
        <f t="shared" ref="K5:K30" si="6">(D5*5+G5*12.5+J5*12.5)/30</f>
        <v>98.541666666666671</v>
      </c>
      <c r="M5" s="32">
        <v>6</v>
      </c>
    </row>
    <row r="6" spans="1:13" ht="13.15" x14ac:dyDescent="0.4">
      <c r="A6" s="5" t="s">
        <v>83</v>
      </c>
      <c r="B6" s="25">
        <v>0</v>
      </c>
      <c r="C6" s="25">
        <f t="shared" si="2"/>
        <v>0</v>
      </c>
      <c r="D6" s="8">
        <f t="shared" si="3"/>
        <v>0</v>
      </c>
      <c r="E6" s="25">
        <v>0</v>
      </c>
      <c r="F6" s="25">
        <f t="shared" si="0"/>
        <v>0</v>
      </c>
      <c r="G6" s="8">
        <f t="shared" si="4"/>
        <v>0</v>
      </c>
      <c r="H6" s="25">
        <v>0</v>
      </c>
      <c r="I6" s="25">
        <f t="shared" ref="I6:I30" si="7">F96</f>
        <v>0</v>
      </c>
      <c r="J6" s="8">
        <f t="shared" si="5"/>
        <v>0</v>
      </c>
      <c r="K6" s="9">
        <f t="shared" si="6"/>
        <v>0</v>
      </c>
      <c r="M6" s="32">
        <v>5</v>
      </c>
    </row>
    <row r="7" spans="1:13" ht="13.15" x14ac:dyDescent="0.4">
      <c r="A7" s="5" t="s">
        <v>84</v>
      </c>
      <c r="B7" s="25">
        <v>95</v>
      </c>
      <c r="C7" s="25">
        <f t="shared" ref="C7:C30" si="8">F37</f>
        <v>100</v>
      </c>
      <c r="D7" s="8">
        <f t="shared" ref="D7:D30" si="9">AVERAGE(B7:C7)</f>
        <v>97.5</v>
      </c>
      <c r="E7" s="25">
        <v>95</v>
      </c>
      <c r="F7" s="25">
        <f t="shared" si="0"/>
        <v>100</v>
      </c>
      <c r="G7" s="8">
        <f t="shared" ref="G7:G30" si="10">AVERAGE(E7:F7)</f>
        <v>97.5</v>
      </c>
      <c r="H7" s="25">
        <v>100</v>
      </c>
      <c r="I7" s="25">
        <f t="shared" si="7"/>
        <v>100</v>
      </c>
      <c r="J7" s="8">
        <f t="shared" ref="J7:J30" si="11">AVERAGE(H7:I7)</f>
        <v>100</v>
      </c>
      <c r="K7" s="9">
        <f t="shared" si="6"/>
        <v>98.541666666666671</v>
      </c>
      <c r="M7" s="32">
        <v>2</v>
      </c>
    </row>
    <row r="8" spans="1:13" ht="13.15" x14ac:dyDescent="0.4">
      <c r="A8" s="5" t="s">
        <v>138</v>
      </c>
      <c r="B8" s="25">
        <v>95</v>
      </c>
      <c r="C8" s="25">
        <f t="shared" si="8"/>
        <v>100</v>
      </c>
      <c r="D8" s="8">
        <f t="shared" si="9"/>
        <v>97.5</v>
      </c>
      <c r="E8" s="25">
        <v>0</v>
      </c>
      <c r="F8" s="25">
        <f t="shared" si="0"/>
        <v>0</v>
      </c>
      <c r="G8" s="8">
        <f t="shared" si="10"/>
        <v>0</v>
      </c>
      <c r="H8" s="25">
        <v>0</v>
      </c>
      <c r="I8" s="25">
        <f t="shared" si="7"/>
        <v>0</v>
      </c>
      <c r="J8" s="8">
        <f t="shared" si="11"/>
        <v>0</v>
      </c>
      <c r="K8" s="9">
        <f t="shared" si="6"/>
        <v>16.25</v>
      </c>
      <c r="M8" s="32">
        <v>3</v>
      </c>
    </row>
    <row r="9" spans="1:13" ht="13.15" x14ac:dyDescent="0.4">
      <c r="A9" s="5" t="s">
        <v>85</v>
      </c>
      <c r="B9" s="25">
        <v>80</v>
      </c>
      <c r="C9" s="25">
        <f t="shared" si="8"/>
        <v>100</v>
      </c>
      <c r="D9" s="8">
        <f t="shared" si="9"/>
        <v>90</v>
      </c>
      <c r="E9" s="25">
        <v>95</v>
      </c>
      <c r="F9" s="25">
        <f t="shared" si="0"/>
        <v>100</v>
      </c>
      <c r="G9" s="8">
        <f t="shared" si="10"/>
        <v>97.5</v>
      </c>
      <c r="H9" s="25">
        <v>95</v>
      </c>
      <c r="I9" s="25">
        <f t="shared" si="7"/>
        <v>100</v>
      </c>
      <c r="J9" s="8">
        <f t="shared" si="11"/>
        <v>97.5</v>
      </c>
      <c r="K9" s="9">
        <f t="shared" si="6"/>
        <v>96.25</v>
      </c>
      <c r="M9" s="32">
        <v>5</v>
      </c>
    </row>
    <row r="10" spans="1:13" ht="13.15" x14ac:dyDescent="0.4">
      <c r="A10" s="5" t="s">
        <v>86</v>
      </c>
      <c r="B10" s="25">
        <v>90</v>
      </c>
      <c r="C10" s="25">
        <f t="shared" si="8"/>
        <v>100</v>
      </c>
      <c r="D10" s="8">
        <f t="shared" si="9"/>
        <v>95</v>
      </c>
      <c r="E10" s="25">
        <v>97</v>
      </c>
      <c r="F10" s="25">
        <f t="shared" si="0"/>
        <v>100</v>
      </c>
      <c r="G10" s="8">
        <f t="shared" si="10"/>
        <v>98.5</v>
      </c>
      <c r="H10" s="25">
        <v>90</v>
      </c>
      <c r="I10" s="25">
        <f t="shared" si="7"/>
        <v>100</v>
      </c>
      <c r="J10" s="8">
        <f t="shared" si="11"/>
        <v>95</v>
      </c>
      <c r="K10" s="9">
        <f t="shared" si="6"/>
        <v>96.458333333333329</v>
      </c>
      <c r="M10" s="32">
        <v>1</v>
      </c>
    </row>
    <row r="11" spans="1:13" ht="13.15" x14ac:dyDescent="0.4">
      <c r="A11" s="5" t="s">
        <v>87</v>
      </c>
      <c r="B11" s="25">
        <v>95</v>
      </c>
      <c r="C11" s="25">
        <f t="shared" si="8"/>
        <v>100</v>
      </c>
      <c r="D11" s="8">
        <f t="shared" si="9"/>
        <v>97.5</v>
      </c>
      <c r="E11" s="25">
        <v>95</v>
      </c>
      <c r="F11" s="25">
        <f t="shared" si="0"/>
        <v>100</v>
      </c>
      <c r="G11" s="8">
        <f t="shared" si="10"/>
        <v>97.5</v>
      </c>
      <c r="H11" s="25">
        <v>80</v>
      </c>
      <c r="I11" s="25">
        <f t="shared" si="7"/>
        <v>100</v>
      </c>
      <c r="J11" s="8">
        <f t="shared" si="11"/>
        <v>90</v>
      </c>
      <c r="K11" s="9">
        <f t="shared" si="6"/>
        <v>94.375</v>
      </c>
      <c r="M11" s="32">
        <v>7</v>
      </c>
    </row>
    <row r="12" spans="1:13" ht="13.15" x14ac:dyDescent="0.4">
      <c r="A12" s="5" t="s">
        <v>88</v>
      </c>
      <c r="B12" s="25">
        <v>90</v>
      </c>
      <c r="C12" s="25">
        <f t="shared" si="8"/>
        <v>100</v>
      </c>
      <c r="D12" s="8">
        <f t="shared" si="9"/>
        <v>95</v>
      </c>
      <c r="E12" s="25">
        <v>97</v>
      </c>
      <c r="F12" s="25">
        <f t="shared" si="0"/>
        <v>100</v>
      </c>
      <c r="G12" s="8">
        <f t="shared" si="10"/>
        <v>98.5</v>
      </c>
      <c r="H12" s="25">
        <v>90</v>
      </c>
      <c r="I12" s="25">
        <f t="shared" si="7"/>
        <v>100</v>
      </c>
      <c r="J12" s="8">
        <f t="shared" si="11"/>
        <v>95</v>
      </c>
      <c r="K12" s="9">
        <f t="shared" si="6"/>
        <v>96.458333333333329</v>
      </c>
      <c r="M12" s="32">
        <v>1</v>
      </c>
    </row>
    <row r="13" spans="1:13" ht="13.15" x14ac:dyDescent="0.4">
      <c r="A13" s="5" t="s">
        <v>139</v>
      </c>
      <c r="B13" s="25">
        <v>80</v>
      </c>
      <c r="C13" s="25">
        <f t="shared" si="8"/>
        <v>100</v>
      </c>
      <c r="D13" s="8">
        <f t="shared" si="9"/>
        <v>90</v>
      </c>
      <c r="E13" s="25">
        <v>80</v>
      </c>
      <c r="F13" s="25">
        <f t="shared" si="0"/>
        <v>100</v>
      </c>
      <c r="G13" s="8">
        <f t="shared" si="10"/>
        <v>90</v>
      </c>
      <c r="H13" s="25">
        <v>70</v>
      </c>
      <c r="I13" s="25">
        <f t="shared" si="7"/>
        <v>100</v>
      </c>
      <c r="J13" s="8">
        <f t="shared" si="11"/>
        <v>85</v>
      </c>
      <c r="K13" s="9">
        <f t="shared" si="6"/>
        <v>87.916666666666671</v>
      </c>
      <c r="M13" s="32">
        <v>4</v>
      </c>
    </row>
    <row r="14" spans="1:13" ht="13.15" x14ac:dyDescent="0.4">
      <c r="A14" s="5" t="s">
        <v>89</v>
      </c>
      <c r="B14" s="25">
        <v>95</v>
      </c>
      <c r="C14" s="25">
        <f t="shared" si="8"/>
        <v>100</v>
      </c>
      <c r="D14" s="8">
        <f t="shared" si="9"/>
        <v>97.5</v>
      </c>
      <c r="E14" s="25">
        <v>100</v>
      </c>
      <c r="F14" s="25">
        <f t="shared" si="0"/>
        <v>100</v>
      </c>
      <c r="G14" s="8">
        <f t="shared" si="10"/>
        <v>100</v>
      </c>
      <c r="H14" s="25">
        <v>95</v>
      </c>
      <c r="I14" s="25">
        <f t="shared" si="7"/>
        <v>100</v>
      </c>
      <c r="J14" s="8">
        <f t="shared" si="11"/>
        <v>97.5</v>
      </c>
      <c r="K14" s="9">
        <f t="shared" si="6"/>
        <v>98.541666666666671</v>
      </c>
      <c r="M14" s="32">
        <v>6</v>
      </c>
    </row>
    <row r="15" spans="1:13" ht="13.15" x14ac:dyDescent="0.4">
      <c r="A15" s="5" t="s">
        <v>90</v>
      </c>
      <c r="B15" s="25">
        <v>80</v>
      </c>
      <c r="C15" s="25">
        <f t="shared" si="8"/>
        <v>100</v>
      </c>
      <c r="D15" s="8">
        <f t="shared" si="9"/>
        <v>90</v>
      </c>
      <c r="E15" s="25">
        <v>80</v>
      </c>
      <c r="F15" s="25">
        <f t="shared" si="0"/>
        <v>100</v>
      </c>
      <c r="G15" s="8">
        <f t="shared" si="10"/>
        <v>90</v>
      </c>
      <c r="H15" s="25">
        <v>70</v>
      </c>
      <c r="I15" s="25">
        <f t="shared" si="7"/>
        <v>100</v>
      </c>
      <c r="J15" s="8">
        <f t="shared" si="11"/>
        <v>85</v>
      </c>
      <c r="K15" s="9">
        <f t="shared" si="6"/>
        <v>87.916666666666671</v>
      </c>
      <c r="M15" s="32">
        <v>4</v>
      </c>
    </row>
    <row r="16" spans="1:13" ht="13.15" x14ac:dyDescent="0.4">
      <c r="A16" s="5" t="s">
        <v>91</v>
      </c>
      <c r="B16" s="25">
        <v>95</v>
      </c>
      <c r="C16" s="25">
        <f t="shared" si="8"/>
        <v>100</v>
      </c>
      <c r="D16" s="8">
        <f t="shared" si="9"/>
        <v>97.5</v>
      </c>
      <c r="E16" s="25">
        <v>100</v>
      </c>
      <c r="F16" s="25">
        <f t="shared" si="0"/>
        <v>100</v>
      </c>
      <c r="G16" s="8">
        <f t="shared" si="10"/>
        <v>100</v>
      </c>
      <c r="H16" s="25">
        <v>95</v>
      </c>
      <c r="I16" s="25">
        <f t="shared" si="7"/>
        <v>100</v>
      </c>
      <c r="J16" s="8">
        <f t="shared" si="11"/>
        <v>97.5</v>
      </c>
      <c r="K16" s="9">
        <f t="shared" si="6"/>
        <v>98.541666666666671</v>
      </c>
      <c r="M16" s="32">
        <v>6</v>
      </c>
    </row>
    <row r="17" spans="1:13" ht="13.15" x14ac:dyDescent="0.4">
      <c r="A17" s="5" t="s">
        <v>92</v>
      </c>
      <c r="B17" s="25">
        <v>95</v>
      </c>
      <c r="C17" s="25">
        <f t="shared" si="8"/>
        <v>100</v>
      </c>
      <c r="D17" s="8">
        <f t="shared" si="9"/>
        <v>97.5</v>
      </c>
      <c r="E17" s="25">
        <v>95</v>
      </c>
      <c r="F17" s="25">
        <f t="shared" si="0"/>
        <v>100</v>
      </c>
      <c r="G17" s="8">
        <f t="shared" si="10"/>
        <v>97.5</v>
      </c>
      <c r="H17" s="25">
        <v>80</v>
      </c>
      <c r="I17" s="25">
        <f t="shared" si="7"/>
        <v>100</v>
      </c>
      <c r="J17" s="8">
        <f t="shared" si="11"/>
        <v>90</v>
      </c>
      <c r="K17" s="9">
        <f t="shared" si="6"/>
        <v>94.375</v>
      </c>
      <c r="M17" s="32">
        <v>7</v>
      </c>
    </row>
    <row r="18" spans="1:13" ht="13.15" x14ac:dyDescent="0.4">
      <c r="A18" s="5" t="s">
        <v>93</v>
      </c>
      <c r="B18" s="25">
        <v>90</v>
      </c>
      <c r="C18" s="25">
        <f t="shared" si="8"/>
        <v>100</v>
      </c>
      <c r="D18" s="8">
        <f t="shared" si="9"/>
        <v>95</v>
      </c>
      <c r="E18" s="25">
        <v>97</v>
      </c>
      <c r="F18" s="25">
        <f t="shared" si="0"/>
        <v>100</v>
      </c>
      <c r="G18" s="8">
        <f t="shared" si="10"/>
        <v>98.5</v>
      </c>
      <c r="H18" s="25">
        <v>90</v>
      </c>
      <c r="I18" s="25">
        <f t="shared" si="7"/>
        <v>100</v>
      </c>
      <c r="J18" s="8">
        <f t="shared" si="11"/>
        <v>95</v>
      </c>
      <c r="K18" s="9">
        <f t="shared" si="6"/>
        <v>96.458333333333329</v>
      </c>
      <c r="M18" s="32">
        <v>1</v>
      </c>
    </row>
    <row r="19" spans="1:13" ht="13.15" x14ac:dyDescent="0.4">
      <c r="A19" s="5" t="s">
        <v>94</v>
      </c>
      <c r="B19" s="25">
        <v>95</v>
      </c>
      <c r="C19" s="25">
        <f t="shared" si="8"/>
        <v>100</v>
      </c>
      <c r="D19" s="8">
        <f t="shared" si="9"/>
        <v>97.5</v>
      </c>
      <c r="E19" s="25">
        <v>95</v>
      </c>
      <c r="F19" s="25">
        <f t="shared" si="0"/>
        <v>98.333333333333329</v>
      </c>
      <c r="G19" s="8">
        <f t="shared" si="10"/>
        <v>96.666666666666657</v>
      </c>
      <c r="H19" s="25">
        <v>100</v>
      </c>
      <c r="I19" s="25">
        <f t="shared" si="7"/>
        <v>98.333333333333329</v>
      </c>
      <c r="J19" s="8">
        <f t="shared" si="11"/>
        <v>99.166666666666657</v>
      </c>
      <c r="K19" s="9">
        <f t="shared" si="6"/>
        <v>97.847222222222214</v>
      </c>
      <c r="M19" s="32">
        <v>2</v>
      </c>
    </row>
    <row r="20" spans="1:13" ht="13.15" x14ac:dyDescent="0.4">
      <c r="A20" s="5" t="s">
        <v>140</v>
      </c>
      <c r="B20" s="25">
        <v>95</v>
      </c>
      <c r="C20" s="25">
        <f t="shared" si="8"/>
        <v>100</v>
      </c>
      <c r="D20" s="8">
        <f t="shared" si="9"/>
        <v>97.5</v>
      </c>
      <c r="E20" s="25">
        <v>95</v>
      </c>
      <c r="F20" s="25">
        <f t="shared" si="0"/>
        <v>100</v>
      </c>
      <c r="G20" s="8">
        <f t="shared" si="10"/>
        <v>97.5</v>
      </c>
      <c r="H20" s="25">
        <v>80</v>
      </c>
      <c r="I20" s="25">
        <f t="shared" si="7"/>
        <v>100</v>
      </c>
      <c r="J20" s="8">
        <f t="shared" si="11"/>
        <v>90</v>
      </c>
      <c r="K20" s="9">
        <f t="shared" si="6"/>
        <v>94.375</v>
      </c>
      <c r="M20" s="32">
        <v>7</v>
      </c>
    </row>
    <row r="21" spans="1:13" ht="13.15" x14ac:dyDescent="0.4">
      <c r="A21" s="5" t="s">
        <v>95</v>
      </c>
      <c r="B21" s="25">
        <v>95</v>
      </c>
      <c r="C21" s="25">
        <f t="shared" si="8"/>
        <v>100</v>
      </c>
      <c r="D21" s="8">
        <f t="shared" si="9"/>
        <v>97.5</v>
      </c>
      <c r="E21" s="25">
        <v>95</v>
      </c>
      <c r="F21" s="25">
        <f t="shared" si="0"/>
        <v>100</v>
      </c>
      <c r="G21" s="8">
        <f t="shared" si="10"/>
        <v>97.5</v>
      </c>
      <c r="H21" s="25">
        <v>100</v>
      </c>
      <c r="I21" s="25">
        <f t="shared" si="7"/>
        <v>100</v>
      </c>
      <c r="J21" s="8">
        <f t="shared" si="11"/>
        <v>100</v>
      </c>
      <c r="K21" s="9">
        <f t="shared" si="6"/>
        <v>98.541666666666671</v>
      </c>
      <c r="M21" s="32">
        <v>2</v>
      </c>
    </row>
    <row r="22" spans="1:13" ht="13.15" x14ac:dyDescent="0.4">
      <c r="A22" s="5" t="s">
        <v>96</v>
      </c>
      <c r="B22" s="25">
        <v>95</v>
      </c>
      <c r="C22" s="25">
        <f t="shared" si="8"/>
        <v>100</v>
      </c>
      <c r="D22" s="8">
        <f t="shared" si="9"/>
        <v>97.5</v>
      </c>
      <c r="E22" s="25">
        <v>95</v>
      </c>
      <c r="F22" s="25">
        <f t="shared" si="0"/>
        <v>100</v>
      </c>
      <c r="G22" s="8">
        <f t="shared" si="10"/>
        <v>97.5</v>
      </c>
      <c r="H22" s="25">
        <v>100</v>
      </c>
      <c r="I22" s="25">
        <f t="shared" si="7"/>
        <v>100</v>
      </c>
      <c r="J22" s="8">
        <f t="shared" si="11"/>
        <v>100</v>
      </c>
      <c r="K22" s="9">
        <f t="shared" si="6"/>
        <v>98.541666666666671</v>
      </c>
      <c r="M22" s="32">
        <v>2</v>
      </c>
    </row>
    <row r="23" spans="1:13" ht="13.15" x14ac:dyDescent="0.4">
      <c r="A23" s="5" t="s">
        <v>141</v>
      </c>
      <c r="B23" s="25">
        <v>0</v>
      </c>
      <c r="C23" s="25">
        <f t="shared" si="8"/>
        <v>0</v>
      </c>
      <c r="D23" s="8">
        <f t="shared" si="9"/>
        <v>0</v>
      </c>
      <c r="E23" s="25">
        <v>0</v>
      </c>
      <c r="F23" s="25">
        <f t="shared" si="0"/>
        <v>0</v>
      </c>
      <c r="G23" s="8">
        <f t="shared" si="10"/>
        <v>0</v>
      </c>
      <c r="H23" s="25">
        <v>0</v>
      </c>
      <c r="I23" s="25">
        <f t="shared" si="7"/>
        <v>0</v>
      </c>
      <c r="J23" s="8">
        <f t="shared" si="11"/>
        <v>0</v>
      </c>
      <c r="K23" s="9">
        <f t="shared" si="6"/>
        <v>0</v>
      </c>
      <c r="M23" s="32"/>
    </row>
    <row r="24" spans="1:13" ht="13.15" x14ac:dyDescent="0.4">
      <c r="A24" s="5" t="s">
        <v>142</v>
      </c>
      <c r="B24" s="25">
        <v>95</v>
      </c>
      <c r="C24" s="25">
        <f t="shared" si="8"/>
        <v>100</v>
      </c>
      <c r="D24" s="8">
        <f t="shared" si="9"/>
        <v>97.5</v>
      </c>
      <c r="E24" s="25">
        <v>0</v>
      </c>
      <c r="F24" s="25">
        <f t="shared" si="0"/>
        <v>0</v>
      </c>
      <c r="G24" s="8">
        <f t="shared" si="10"/>
        <v>0</v>
      </c>
      <c r="H24" s="25">
        <v>0</v>
      </c>
      <c r="I24" s="25">
        <f t="shared" si="7"/>
        <v>0</v>
      </c>
      <c r="J24" s="8">
        <f t="shared" si="11"/>
        <v>0</v>
      </c>
      <c r="K24" s="9">
        <f t="shared" si="6"/>
        <v>16.25</v>
      </c>
      <c r="M24" s="32">
        <v>3</v>
      </c>
    </row>
    <row r="25" spans="1:13" ht="13.15" x14ac:dyDescent="0.4">
      <c r="A25" s="5" t="s">
        <v>143</v>
      </c>
      <c r="B25" s="25">
        <v>95</v>
      </c>
      <c r="C25" s="25">
        <f t="shared" si="8"/>
        <v>99.166666666666671</v>
      </c>
      <c r="D25" s="8">
        <f t="shared" si="9"/>
        <v>97.083333333333343</v>
      </c>
      <c r="E25" s="25">
        <v>0</v>
      </c>
      <c r="F25" s="25">
        <f t="shared" si="0"/>
        <v>0</v>
      </c>
      <c r="G25" s="8">
        <f t="shared" si="10"/>
        <v>0</v>
      </c>
      <c r="H25" s="25">
        <v>0</v>
      </c>
      <c r="I25" s="25">
        <f t="shared" si="7"/>
        <v>0</v>
      </c>
      <c r="J25" s="8">
        <f t="shared" si="11"/>
        <v>0</v>
      </c>
      <c r="K25" s="9">
        <f t="shared" si="6"/>
        <v>16.180555555555557</v>
      </c>
      <c r="M25" s="32">
        <v>3</v>
      </c>
    </row>
    <row r="26" spans="1:13" ht="13.15" x14ac:dyDescent="0.4">
      <c r="A26" s="5" t="s">
        <v>97</v>
      </c>
      <c r="B26" s="25">
        <v>90</v>
      </c>
      <c r="C26" s="25">
        <f t="shared" si="8"/>
        <v>100</v>
      </c>
      <c r="D26" s="8">
        <f t="shared" si="9"/>
        <v>95</v>
      </c>
      <c r="E26" s="25">
        <v>97</v>
      </c>
      <c r="F26" s="25">
        <f t="shared" si="0"/>
        <v>100</v>
      </c>
      <c r="G26" s="8">
        <f t="shared" si="10"/>
        <v>98.5</v>
      </c>
      <c r="H26" s="25">
        <v>90</v>
      </c>
      <c r="I26" s="25">
        <f t="shared" si="7"/>
        <v>100</v>
      </c>
      <c r="J26" s="8">
        <f t="shared" si="11"/>
        <v>95</v>
      </c>
      <c r="K26" s="9">
        <f t="shared" si="6"/>
        <v>96.458333333333329</v>
      </c>
      <c r="M26" s="32">
        <v>1</v>
      </c>
    </row>
    <row r="27" spans="1:13" ht="13.15" x14ac:dyDescent="0.4">
      <c r="A27" s="5" t="s">
        <v>98</v>
      </c>
      <c r="B27" s="25">
        <v>80</v>
      </c>
      <c r="C27" s="25">
        <f t="shared" si="8"/>
        <v>100</v>
      </c>
      <c r="D27" s="8">
        <f t="shared" si="9"/>
        <v>90</v>
      </c>
      <c r="E27" s="25">
        <v>95</v>
      </c>
      <c r="F27" s="25">
        <f t="shared" si="0"/>
        <v>100</v>
      </c>
      <c r="G27" s="8">
        <f t="shared" si="10"/>
        <v>97.5</v>
      </c>
      <c r="H27" s="25">
        <v>95</v>
      </c>
      <c r="I27" s="25">
        <f t="shared" si="7"/>
        <v>100</v>
      </c>
      <c r="J27" s="8">
        <f t="shared" si="11"/>
        <v>97.5</v>
      </c>
      <c r="K27" s="9">
        <f t="shared" si="6"/>
        <v>96.25</v>
      </c>
      <c r="M27" s="32">
        <v>5</v>
      </c>
    </row>
    <row r="28" spans="1:13" ht="13.15" x14ac:dyDescent="0.4">
      <c r="A28" s="5" t="s">
        <v>144</v>
      </c>
      <c r="B28" s="25">
        <v>80</v>
      </c>
      <c r="C28" s="25">
        <f t="shared" si="8"/>
        <v>100</v>
      </c>
      <c r="D28" s="8">
        <f t="shared" si="9"/>
        <v>90</v>
      </c>
      <c r="E28" s="25">
        <v>80</v>
      </c>
      <c r="F28" s="25">
        <f t="shared" si="0"/>
        <v>100</v>
      </c>
      <c r="G28" s="8">
        <f t="shared" si="10"/>
        <v>90</v>
      </c>
      <c r="H28" s="25">
        <v>70</v>
      </c>
      <c r="I28" s="25">
        <f t="shared" si="7"/>
        <v>100</v>
      </c>
      <c r="J28" s="8">
        <f t="shared" si="11"/>
        <v>85</v>
      </c>
      <c r="K28" s="9">
        <f t="shared" si="6"/>
        <v>87.916666666666671</v>
      </c>
      <c r="M28" s="32">
        <v>4</v>
      </c>
    </row>
    <row r="29" spans="1:13" ht="13.15" x14ac:dyDescent="0.4">
      <c r="A29" s="5" t="s">
        <v>99</v>
      </c>
      <c r="B29" s="25">
        <v>95</v>
      </c>
      <c r="C29" s="25">
        <f t="shared" si="8"/>
        <v>100</v>
      </c>
      <c r="D29" s="8">
        <f t="shared" si="9"/>
        <v>97.5</v>
      </c>
      <c r="E29" s="25">
        <v>95</v>
      </c>
      <c r="F29" s="25">
        <f t="shared" si="0"/>
        <v>100</v>
      </c>
      <c r="G29" s="8">
        <f t="shared" si="10"/>
        <v>97.5</v>
      </c>
      <c r="H29" s="25">
        <v>80</v>
      </c>
      <c r="I29" s="25">
        <f t="shared" si="7"/>
        <v>100</v>
      </c>
      <c r="J29" s="8">
        <f t="shared" si="11"/>
        <v>90</v>
      </c>
      <c r="K29" s="9">
        <f t="shared" si="6"/>
        <v>94.375</v>
      </c>
      <c r="M29" s="32">
        <v>7</v>
      </c>
    </row>
    <row r="30" spans="1:13" ht="13.15" x14ac:dyDescent="0.4">
      <c r="A30" s="5" t="s">
        <v>100</v>
      </c>
      <c r="B30" s="25">
        <v>95</v>
      </c>
      <c r="C30" s="25">
        <f t="shared" si="8"/>
        <v>100</v>
      </c>
      <c r="D30" s="8">
        <f t="shared" si="9"/>
        <v>97.5</v>
      </c>
      <c r="E30" s="25">
        <v>100</v>
      </c>
      <c r="F30" s="25">
        <f t="shared" si="0"/>
        <v>100</v>
      </c>
      <c r="G30" s="8">
        <f t="shared" si="10"/>
        <v>100</v>
      </c>
      <c r="H30" s="25">
        <v>95</v>
      </c>
      <c r="I30" s="25">
        <f t="shared" si="7"/>
        <v>100</v>
      </c>
      <c r="J30" s="8">
        <f t="shared" si="11"/>
        <v>97.5</v>
      </c>
      <c r="K30" s="9">
        <f t="shared" si="6"/>
        <v>98.541666666666671</v>
      </c>
      <c r="M30" s="32">
        <v>6</v>
      </c>
    </row>
    <row r="31" spans="1:13" ht="13.15" x14ac:dyDescent="0.35">
      <c r="A31" s="49"/>
      <c r="M31" s="48"/>
    </row>
    <row r="32" spans="1:13" x14ac:dyDescent="0.35">
      <c r="A32" s="72" t="s">
        <v>103</v>
      </c>
      <c r="B32" s="72"/>
      <c r="C32" s="72"/>
      <c r="D32" s="72"/>
      <c r="E32" s="72"/>
      <c r="F32" s="72"/>
    </row>
    <row r="33" spans="1:8" x14ac:dyDescent="0.35">
      <c r="A33" s="33"/>
      <c r="B33" s="34" t="s">
        <v>37</v>
      </c>
      <c r="C33" s="34" t="s">
        <v>38</v>
      </c>
      <c r="D33" s="34" t="s">
        <v>42</v>
      </c>
      <c r="E33" s="35" t="s">
        <v>40</v>
      </c>
      <c r="F33" s="35" t="s">
        <v>18</v>
      </c>
    </row>
    <row r="34" spans="1:8" ht="13.15" x14ac:dyDescent="0.4">
      <c r="A34" s="5" t="s">
        <v>81</v>
      </c>
      <c r="B34" s="36">
        <v>100</v>
      </c>
      <c r="C34" s="36">
        <v>100</v>
      </c>
      <c r="D34" s="36">
        <v>100</v>
      </c>
      <c r="E34" s="36">
        <v>100</v>
      </c>
      <c r="F34" s="37">
        <f>AVERAGE(B34:E34)</f>
        <v>100</v>
      </c>
      <c r="H34" s="32">
        <v>5</v>
      </c>
    </row>
    <row r="35" spans="1:8" ht="13.15" x14ac:dyDescent="0.4">
      <c r="A35" s="5" t="s">
        <v>82</v>
      </c>
      <c r="B35" s="36">
        <v>100</v>
      </c>
      <c r="C35" s="36">
        <v>100</v>
      </c>
      <c r="D35" s="36">
        <v>100</v>
      </c>
      <c r="E35" s="36">
        <v>100</v>
      </c>
      <c r="F35" s="37">
        <f t="shared" ref="F35:F36" si="12">AVERAGE(B35:E35)</f>
        <v>100</v>
      </c>
      <c r="H35" s="32">
        <v>6</v>
      </c>
    </row>
    <row r="36" spans="1:8" ht="13.15" x14ac:dyDescent="0.4">
      <c r="A36" s="5" t="s">
        <v>83</v>
      </c>
      <c r="B36" s="36">
        <v>0</v>
      </c>
      <c r="C36" s="36">
        <v>0</v>
      </c>
      <c r="D36" s="36">
        <v>0</v>
      </c>
      <c r="E36" s="36">
        <v>0</v>
      </c>
      <c r="F36" s="37">
        <f t="shared" si="12"/>
        <v>0</v>
      </c>
      <c r="H36" s="32"/>
    </row>
    <row r="37" spans="1:8" ht="13.15" x14ac:dyDescent="0.4">
      <c r="A37" s="5" t="s">
        <v>84</v>
      </c>
      <c r="B37" s="36">
        <v>100</v>
      </c>
      <c r="C37" s="36">
        <v>100</v>
      </c>
      <c r="D37" s="36">
        <v>100</v>
      </c>
      <c r="E37" s="36">
        <v>100</v>
      </c>
      <c r="F37" s="37">
        <f t="shared" ref="F37:F60" si="13">AVERAGE(B37:E37)</f>
        <v>100</v>
      </c>
      <c r="H37" s="32">
        <v>2</v>
      </c>
    </row>
    <row r="38" spans="1:8" ht="13.15" x14ac:dyDescent="0.4">
      <c r="A38" s="5" t="s">
        <v>138</v>
      </c>
      <c r="B38" s="36">
        <v>100</v>
      </c>
      <c r="C38" s="36">
        <v>100</v>
      </c>
      <c r="D38" s="36">
        <v>100</v>
      </c>
      <c r="E38" s="36">
        <v>100</v>
      </c>
      <c r="F38" s="37">
        <f t="shared" si="13"/>
        <v>100</v>
      </c>
      <c r="H38" s="32">
        <v>3</v>
      </c>
    </row>
    <row r="39" spans="1:8" ht="13.15" x14ac:dyDescent="0.4">
      <c r="A39" s="5" t="s">
        <v>85</v>
      </c>
      <c r="B39" s="36">
        <v>100</v>
      </c>
      <c r="C39" s="36">
        <v>100</v>
      </c>
      <c r="D39" s="36">
        <v>100</v>
      </c>
      <c r="E39" s="36">
        <v>100</v>
      </c>
      <c r="F39" s="37">
        <f t="shared" si="13"/>
        <v>100</v>
      </c>
      <c r="H39" s="32">
        <v>5</v>
      </c>
    </row>
    <row r="40" spans="1:8" ht="13.15" x14ac:dyDescent="0.4">
      <c r="A40" s="5" t="s">
        <v>86</v>
      </c>
      <c r="B40" s="36">
        <v>100</v>
      </c>
      <c r="C40" s="36">
        <v>100</v>
      </c>
      <c r="D40" s="36">
        <v>100</v>
      </c>
      <c r="E40" s="36">
        <v>100</v>
      </c>
      <c r="F40" s="37">
        <f t="shared" si="13"/>
        <v>100</v>
      </c>
      <c r="H40" s="32">
        <v>1</v>
      </c>
    </row>
    <row r="41" spans="1:8" ht="13.15" x14ac:dyDescent="0.4">
      <c r="A41" s="5" t="s">
        <v>87</v>
      </c>
      <c r="B41" s="36">
        <v>100</v>
      </c>
      <c r="C41" s="36">
        <v>100</v>
      </c>
      <c r="D41" s="36">
        <v>100</v>
      </c>
      <c r="E41" s="36">
        <v>100</v>
      </c>
      <c r="F41" s="37">
        <f t="shared" si="13"/>
        <v>100</v>
      </c>
      <c r="H41" s="32">
        <v>7</v>
      </c>
    </row>
    <row r="42" spans="1:8" ht="13.15" x14ac:dyDescent="0.4">
      <c r="A42" s="5" t="s">
        <v>88</v>
      </c>
      <c r="B42" s="36">
        <v>100</v>
      </c>
      <c r="C42" s="36">
        <v>100</v>
      </c>
      <c r="D42" s="36">
        <v>100</v>
      </c>
      <c r="E42" s="36">
        <v>100</v>
      </c>
      <c r="F42" s="37">
        <f t="shared" si="13"/>
        <v>100</v>
      </c>
      <c r="H42" s="32">
        <v>1</v>
      </c>
    </row>
    <row r="43" spans="1:8" ht="13.15" x14ac:dyDescent="0.4">
      <c r="A43" s="5" t="s">
        <v>139</v>
      </c>
      <c r="B43" s="36">
        <v>100</v>
      </c>
      <c r="C43" s="36">
        <v>100</v>
      </c>
      <c r="D43" s="36">
        <v>100</v>
      </c>
      <c r="E43" s="36">
        <v>100</v>
      </c>
      <c r="F43" s="37">
        <f t="shared" si="13"/>
        <v>100</v>
      </c>
      <c r="H43" s="32">
        <v>4</v>
      </c>
    </row>
    <row r="44" spans="1:8" ht="13.15" x14ac:dyDescent="0.4">
      <c r="A44" s="5" t="s">
        <v>89</v>
      </c>
      <c r="B44" s="36">
        <v>100</v>
      </c>
      <c r="C44" s="36">
        <v>100</v>
      </c>
      <c r="D44" s="36">
        <v>100</v>
      </c>
      <c r="E44" s="36">
        <v>100</v>
      </c>
      <c r="F44" s="37">
        <f t="shared" si="13"/>
        <v>100</v>
      </c>
      <c r="H44" s="32">
        <v>6</v>
      </c>
    </row>
    <row r="45" spans="1:8" ht="13.15" x14ac:dyDescent="0.4">
      <c r="A45" s="5" t="s">
        <v>90</v>
      </c>
      <c r="B45" s="36">
        <v>100</v>
      </c>
      <c r="C45" s="36">
        <v>100</v>
      </c>
      <c r="D45" s="36">
        <v>100</v>
      </c>
      <c r="E45" s="36">
        <v>100</v>
      </c>
      <c r="F45" s="37">
        <f t="shared" si="13"/>
        <v>100</v>
      </c>
      <c r="H45" s="32">
        <v>4</v>
      </c>
    </row>
    <row r="46" spans="1:8" ht="13.15" x14ac:dyDescent="0.4">
      <c r="A46" s="5" t="s">
        <v>91</v>
      </c>
      <c r="B46" s="36">
        <v>100</v>
      </c>
      <c r="C46" s="36">
        <v>100</v>
      </c>
      <c r="D46" s="36">
        <v>100</v>
      </c>
      <c r="E46" s="36">
        <v>100</v>
      </c>
      <c r="F46" s="37">
        <f t="shared" si="13"/>
        <v>100</v>
      </c>
      <c r="H46" s="32">
        <v>6</v>
      </c>
    </row>
    <row r="47" spans="1:8" ht="13.15" x14ac:dyDescent="0.4">
      <c r="A47" s="5" t="s">
        <v>92</v>
      </c>
      <c r="B47" s="36">
        <v>100</v>
      </c>
      <c r="C47" s="36">
        <v>100</v>
      </c>
      <c r="D47" s="36">
        <v>100</v>
      </c>
      <c r="E47" s="36">
        <v>100</v>
      </c>
      <c r="F47" s="37">
        <f t="shared" si="13"/>
        <v>100</v>
      </c>
      <c r="H47" s="32">
        <v>7</v>
      </c>
    </row>
    <row r="48" spans="1:8" ht="13.15" x14ac:dyDescent="0.4">
      <c r="A48" s="5" t="s">
        <v>93</v>
      </c>
      <c r="B48" s="36">
        <v>100</v>
      </c>
      <c r="C48" s="36">
        <v>100</v>
      </c>
      <c r="D48" s="36">
        <v>100</v>
      </c>
      <c r="E48" s="36">
        <v>100</v>
      </c>
      <c r="F48" s="37">
        <f t="shared" si="13"/>
        <v>100</v>
      </c>
      <c r="H48" s="32">
        <v>1</v>
      </c>
    </row>
    <row r="49" spans="1:8" ht="13.15" x14ac:dyDescent="0.4">
      <c r="A49" s="5" t="s">
        <v>94</v>
      </c>
      <c r="B49" s="36">
        <v>100</v>
      </c>
      <c r="C49" s="36">
        <v>100</v>
      </c>
      <c r="D49" s="36">
        <v>100</v>
      </c>
      <c r="E49" s="36">
        <v>100</v>
      </c>
      <c r="F49" s="37">
        <f t="shared" si="13"/>
        <v>100</v>
      </c>
      <c r="H49" s="32">
        <v>2</v>
      </c>
    </row>
    <row r="50" spans="1:8" ht="13.15" x14ac:dyDescent="0.4">
      <c r="A50" s="5" t="s">
        <v>140</v>
      </c>
      <c r="B50" s="36">
        <v>100</v>
      </c>
      <c r="C50" s="36">
        <v>100</v>
      </c>
      <c r="D50" s="36">
        <v>100</v>
      </c>
      <c r="E50" s="36">
        <v>100</v>
      </c>
      <c r="F50" s="37">
        <f t="shared" si="13"/>
        <v>100</v>
      </c>
      <c r="G50" s="11"/>
      <c r="H50" s="32">
        <v>7</v>
      </c>
    </row>
    <row r="51" spans="1:8" ht="13.15" x14ac:dyDescent="0.4">
      <c r="A51" s="5" t="s">
        <v>95</v>
      </c>
      <c r="B51" s="36">
        <v>100</v>
      </c>
      <c r="C51" s="36">
        <v>100</v>
      </c>
      <c r="D51" s="36">
        <v>100</v>
      </c>
      <c r="E51" s="36">
        <v>100</v>
      </c>
      <c r="F51" s="37">
        <f t="shared" si="13"/>
        <v>100</v>
      </c>
      <c r="G51" s="11"/>
      <c r="H51" s="32">
        <v>2</v>
      </c>
    </row>
    <row r="52" spans="1:8" ht="13.15" x14ac:dyDescent="0.4">
      <c r="A52" s="5" t="s">
        <v>96</v>
      </c>
      <c r="B52" s="36">
        <v>100</v>
      </c>
      <c r="C52" s="36">
        <v>100</v>
      </c>
      <c r="D52" s="36">
        <v>100</v>
      </c>
      <c r="E52" s="36">
        <v>100</v>
      </c>
      <c r="F52" s="37">
        <f t="shared" si="13"/>
        <v>100</v>
      </c>
      <c r="G52" s="11"/>
      <c r="H52" s="32">
        <v>2</v>
      </c>
    </row>
    <row r="53" spans="1:8" ht="13.15" x14ac:dyDescent="0.4">
      <c r="A53" s="5" t="s">
        <v>141</v>
      </c>
      <c r="B53" s="36">
        <v>0</v>
      </c>
      <c r="C53" s="36">
        <v>0</v>
      </c>
      <c r="D53" s="36">
        <v>0</v>
      </c>
      <c r="E53" s="36">
        <v>0</v>
      </c>
      <c r="F53" s="37">
        <f t="shared" si="13"/>
        <v>0</v>
      </c>
      <c r="G53" s="11"/>
      <c r="H53" s="32"/>
    </row>
    <row r="54" spans="1:8" ht="13.15" x14ac:dyDescent="0.4">
      <c r="A54" s="5" t="s">
        <v>142</v>
      </c>
      <c r="B54" s="36">
        <v>100</v>
      </c>
      <c r="C54" s="36">
        <v>100</v>
      </c>
      <c r="D54" s="36">
        <v>100</v>
      </c>
      <c r="E54" s="36">
        <v>100</v>
      </c>
      <c r="F54" s="37">
        <f t="shared" si="13"/>
        <v>100</v>
      </c>
      <c r="G54" s="11"/>
      <c r="H54" s="32">
        <v>3</v>
      </c>
    </row>
    <row r="55" spans="1:8" ht="13.15" x14ac:dyDescent="0.4">
      <c r="A55" s="5" t="s">
        <v>143</v>
      </c>
      <c r="B55" s="36">
        <v>100</v>
      </c>
      <c r="C55" s="36">
        <v>100</v>
      </c>
      <c r="D55" s="36">
        <f>29/30*100</f>
        <v>96.666666666666671</v>
      </c>
      <c r="E55" s="36">
        <v>100</v>
      </c>
      <c r="F55" s="37">
        <f t="shared" si="13"/>
        <v>99.166666666666671</v>
      </c>
      <c r="G55" s="11"/>
      <c r="H55" s="32">
        <v>3</v>
      </c>
    </row>
    <row r="56" spans="1:8" ht="13.15" x14ac:dyDescent="0.4">
      <c r="A56" s="5" t="s">
        <v>97</v>
      </c>
      <c r="B56" s="36">
        <v>100</v>
      </c>
      <c r="C56" s="36">
        <v>100</v>
      </c>
      <c r="D56" s="36">
        <v>100</v>
      </c>
      <c r="E56" s="36">
        <v>100</v>
      </c>
      <c r="F56" s="37">
        <f t="shared" si="13"/>
        <v>100</v>
      </c>
      <c r="G56" s="11"/>
      <c r="H56" s="32">
        <v>1</v>
      </c>
    </row>
    <row r="57" spans="1:8" ht="13.15" x14ac:dyDescent="0.4">
      <c r="A57" s="5" t="s">
        <v>98</v>
      </c>
      <c r="B57" s="36">
        <v>100</v>
      </c>
      <c r="C57" s="36">
        <v>100</v>
      </c>
      <c r="D57" s="36">
        <v>100</v>
      </c>
      <c r="E57" s="36">
        <v>100</v>
      </c>
      <c r="F57" s="37">
        <f t="shared" si="13"/>
        <v>100</v>
      </c>
      <c r="G57" s="11"/>
      <c r="H57" s="32">
        <v>5</v>
      </c>
    </row>
    <row r="58" spans="1:8" ht="13.15" x14ac:dyDescent="0.4">
      <c r="A58" s="5" t="s">
        <v>144</v>
      </c>
      <c r="B58" s="36">
        <v>100</v>
      </c>
      <c r="C58" s="36">
        <v>100</v>
      </c>
      <c r="D58" s="36">
        <v>100</v>
      </c>
      <c r="E58" s="36">
        <v>100</v>
      </c>
      <c r="F58" s="37">
        <f t="shared" si="13"/>
        <v>100</v>
      </c>
      <c r="G58" s="11"/>
      <c r="H58" s="32">
        <v>4</v>
      </c>
    </row>
    <row r="59" spans="1:8" ht="13.15" x14ac:dyDescent="0.4">
      <c r="A59" s="5" t="s">
        <v>99</v>
      </c>
      <c r="B59" s="36">
        <v>100</v>
      </c>
      <c r="C59" s="36">
        <v>100</v>
      </c>
      <c r="D59" s="36">
        <v>100</v>
      </c>
      <c r="E59" s="36">
        <v>100</v>
      </c>
      <c r="F59" s="37">
        <f t="shared" si="13"/>
        <v>100</v>
      </c>
      <c r="G59" s="11"/>
      <c r="H59" s="32">
        <v>7</v>
      </c>
    </row>
    <row r="60" spans="1:8" ht="13.15" x14ac:dyDescent="0.4">
      <c r="A60" s="5" t="s">
        <v>100</v>
      </c>
      <c r="B60" s="36">
        <v>100</v>
      </c>
      <c r="C60" s="36">
        <v>100</v>
      </c>
      <c r="D60" s="36">
        <v>100</v>
      </c>
      <c r="E60" s="36">
        <v>100</v>
      </c>
      <c r="F60" s="37">
        <f t="shared" si="13"/>
        <v>100</v>
      </c>
      <c r="G60" s="11"/>
      <c r="H60" s="32">
        <v>6</v>
      </c>
    </row>
    <row r="61" spans="1:8" ht="13.15" x14ac:dyDescent="0.35">
      <c r="H61" s="63"/>
    </row>
    <row r="62" spans="1:8" x14ac:dyDescent="0.35">
      <c r="A62" s="72" t="s">
        <v>109</v>
      </c>
      <c r="B62" s="72"/>
      <c r="C62" s="72"/>
      <c r="D62" s="72"/>
      <c r="E62" s="72"/>
      <c r="F62" s="72"/>
    </row>
    <row r="63" spans="1:8" x14ac:dyDescent="0.35">
      <c r="A63" s="33"/>
      <c r="B63" s="34" t="s">
        <v>37</v>
      </c>
      <c r="C63" s="34" t="s">
        <v>38</v>
      </c>
      <c r="D63" s="34" t="s">
        <v>42</v>
      </c>
      <c r="E63" s="35" t="s">
        <v>40</v>
      </c>
      <c r="F63" s="35" t="s">
        <v>18</v>
      </c>
    </row>
    <row r="64" spans="1:8" ht="13.15" x14ac:dyDescent="0.4">
      <c r="A64" s="5" t="s">
        <v>81</v>
      </c>
      <c r="B64" s="36">
        <v>100</v>
      </c>
      <c r="C64" s="36">
        <v>100</v>
      </c>
      <c r="D64" s="36">
        <v>100</v>
      </c>
      <c r="E64" s="36">
        <v>100</v>
      </c>
      <c r="F64" s="37">
        <f>AVERAGE(B64:E64)</f>
        <v>100</v>
      </c>
      <c r="H64" s="32">
        <v>5</v>
      </c>
    </row>
    <row r="65" spans="1:8" ht="13.15" x14ac:dyDescent="0.4">
      <c r="A65" s="5" t="s">
        <v>82</v>
      </c>
      <c r="B65" s="36">
        <v>100</v>
      </c>
      <c r="C65" s="36">
        <v>100</v>
      </c>
      <c r="D65" s="36">
        <v>100</v>
      </c>
      <c r="E65" s="36">
        <v>100</v>
      </c>
      <c r="F65" s="37">
        <f t="shared" ref="F65:F66" si="14">AVERAGE(B65:E65)</f>
        <v>100</v>
      </c>
      <c r="H65" s="32">
        <v>6</v>
      </c>
    </row>
    <row r="66" spans="1:8" ht="13.15" x14ac:dyDescent="0.4">
      <c r="A66" s="5" t="s">
        <v>83</v>
      </c>
      <c r="B66" s="36">
        <v>0</v>
      </c>
      <c r="C66" s="36">
        <v>0</v>
      </c>
      <c r="D66" s="36">
        <v>0</v>
      </c>
      <c r="E66" s="36">
        <v>0</v>
      </c>
      <c r="F66" s="37">
        <f t="shared" si="14"/>
        <v>0</v>
      </c>
      <c r="H66" s="32"/>
    </row>
    <row r="67" spans="1:8" ht="13.15" x14ac:dyDescent="0.4">
      <c r="A67" s="5" t="s">
        <v>84</v>
      </c>
      <c r="B67" s="36">
        <v>100</v>
      </c>
      <c r="C67" s="36">
        <v>100</v>
      </c>
      <c r="D67" s="36">
        <v>100</v>
      </c>
      <c r="E67" s="36">
        <v>100</v>
      </c>
      <c r="F67" s="37">
        <f t="shared" ref="F67:F90" si="15">AVERAGE(B67:E67)</f>
        <v>100</v>
      </c>
      <c r="H67" s="32">
        <v>2</v>
      </c>
    </row>
    <row r="68" spans="1:8" ht="13.15" x14ac:dyDescent="0.4">
      <c r="A68" s="5" t="s">
        <v>138</v>
      </c>
      <c r="B68" s="36">
        <v>0</v>
      </c>
      <c r="C68" s="36">
        <v>0</v>
      </c>
      <c r="D68" s="36">
        <v>0</v>
      </c>
      <c r="E68" s="36">
        <v>0</v>
      </c>
      <c r="F68" s="37">
        <f t="shared" si="15"/>
        <v>0</v>
      </c>
      <c r="H68" s="32">
        <v>3</v>
      </c>
    </row>
    <row r="69" spans="1:8" ht="13.15" x14ac:dyDescent="0.4">
      <c r="A69" s="5" t="s">
        <v>85</v>
      </c>
      <c r="B69" s="36">
        <v>100</v>
      </c>
      <c r="C69" s="36">
        <v>100</v>
      </c>
      <c r="D69" s="36">
        <v>100</v>
      </c>
      <c r="E69" s="36">
        <v>100</v>
      </c>
      <c r="F69" s="37">
        <f t="shared" si="15"/>
        <v>100</v>
      </c>
      <c r="H69" s="32">
        <v>5</v>
      </c>
    </row>
    <row r="70" spans="1:8" ht="13.15" x14ac:dyDescent="0.4">
      <c r="A70" s="5" t="s">
        <v>86</v>
      </c>
      <c r="B70" s="36">
        <v>100</v>
      </c>
      <c r="C70" s="36">
        <v>100</v>
      </c>
      <c r="D70" s="36">
        <v>100</v>
      </c>
      <c r="E70" s="36">
        <v>100</v>
      </c>
      <c r="F70" s="37">
        <f t="shared" si="15"/>
        <v>100</v>
      </c>
      <c r="H70" s="32">
        <v>1</v>
      </c>
    </row>
    <row r="71" spans="1:8" ht="13.15" x14ac:dyDescent="0.4">
      <c r="A71" s="5" t="s">
        <v>87</v>
      </c>
      <c r="B71" s="36">
        <v>100</v>
      </c>
      <c r="C71" s="36">
        <v>100</v>
      </c>
      <c r="D71" s="36">
        <v>100</v>
      </c>
      <c r="E71" s="36">
        <v>100</v>
      </c>
      <c r="F71" s="37">
        <f t="shared" si="15"/>
        <v>100</v>
      </c>
      <c r="H71" s="32">
        <v>7</v>
      </c>
    </row>
    <row r="72" spans="1:8" ht="13.15" x14ac:dyDescent="0.4">
      <c r="A72" s="5" t="s">
        <v>88</v>
      </c>
      <c r="B72" s="36">
        <v>100</v>
      </c>
      <c r="C72" s="36">
        <v>100</v>
      </c>
      <c r="D72" s="36">
        <v>100</v>
      </c>
      <c r="E72" s="36">
        <v>100</v>
      </c>
      <c r="F72" s="37">
        <f t="shared" si="15"/>
        <v>100</v>
      </c>
      <c r="H72" s="32">
        <v>1</v>
      </c>
    </row>
    <row r="73" spans="1:8" ht="13.15" x14ac:dyDescent="0.4">
      <c r="A73" s="5" t="s">
        <v>139</v>
      </c>
      <c r="B73" s="36">
        <v>100</v>
      </c>
      <c r="C73" s="36">
        <v>100</v>
      </c>
      <c r="D73" s="36">
        <v>100</v>
      </c>
      <c r="E73" s="36">
        <v>100</v>
      </c>
      <c r="F73" s="37">
        <f t="shared" si="15"/>
        <v>100</v>
      </c>
      <c r="H73" s="32">
        <v>4</v>
      </c>
    </row>
    <row r="74" spans="1:8" ht="13.15" x14ac:dyDescent="0.4">
      <c r="A74" s="5" t="s">
        <v>89</v>
      </c>
      <c r="B74" s="36">
        <v>100</v>
      </c>
      <c r="C74" s="36">
        <v>100</v>
      </c>
      <c r="D74" s="36">
        <v>100</v>
      </c>
      <c r="E74" s="36">
        <v>100</v>
      </c>
      <c r="F74" s="37">
        <f t="shared" si="15"/>
        <v>100</v>
      </c>
      <c r="H74" s="32">
        <v>6</v>
      </c>
    </row>
    <row r="75" spans="1:8" ht="13.15" x14ac:dyDescent="0.4">
      <c r="A75" s="5" t="s">
        <v>90</v>
      </c>
      <c r="B75" s="36">
        <v>100</v>
      </c>
      <c r="C75" s="36">
        <v>100</v>
      </c>
      <c r="D75" s="36">
        <v>100</v>
      </c>
      <c r="E75" s="36">
        <v>100</v>
      </c>
      <c r="F75" s="37">
        <f t="shared" si="15"/>
        <v>100</v>
      </c>
      <c r="H75" s="32">
        <v>4</v>
      </c>
    </row>
    <row r="76" spans="1:8" ht="13.15" x14ac:dyDescent="0.4">
      <c r="A76" s="5" t="s">
        <v>91</v>
      </c>
      <c r="B76" s="36">
        <v>100</v>
      </c>
      <c r="C76" s="36">
        <v>100</v>
      </c>
      <c r="D76" s="36">
        <v>100</v>
      </c>
      <c r="E76" s="36">
        <v>100</v>
      </c>
      <c r="F76" s="37">
        <f t="shared" si="15"/>
        <v>100</v>
      </c>
      <c r="H76" s="32">
        <v>6</v>
      </c>
    </row>
    <row r="77" spans="1:8" ht="13.15" x14ac:dyDescent="0.4">
      <c r="A77" s="5" t="s">
        <v>92</v>
      </c>
      <c r="B77" s="36">
        <v>100</v>
      </c>
      <c r="C77" s="36">
        <v>100</v>
      </c>
      <c r="D77" s="36">
        <v>100</v>
      </c>
      <c r="E77" s="36">
        <v>100</v>
      </c>
      <c r="F77" s="37">
        <f t="shared" si="15"/>
        <v>100</v>
      </c>
      <c r="H77" s="32">
        <v>7</v>
      </c>
    </row>
    <row r="78" spans="1:8" ht="13.15" x14ac:dyDescent="0.4">
      <c r="A78" s="5" t="s">
        <v>93</v>
      </c>
      <c r="B78" s="36">
        <v>100</v>
      </c>
      <c r="C78" s="36">
        <v>100</v>
      </c>
      <c r="D78" s="36">
        <v>100</v>
      </c>
      <c r="E78" s="36">
        <v>100</v>
      </c>
      <c r="F78" s="37">
        <f t="shared" si="15"/>
        <v>100</v>
      </c>
      <c r="H78" s="32">
        <v>1</v>
      </c>
    </row>
    <row r="79" spans="1:8" ht="13.15" x14ac:dyDescent="0.4">
      <c r="A79" s="5" t="s">
        <v>94</v>
      </c>
      <c r="B79" s="36">
        <v>100</v>
      </c>
      <c r="C79" s="36">
        <f>28/30*100</f>
        <v>93.333333333333329</v>
      </c>
      <c r="D79" s="36">
        <v>100</v>
      </c>
      <c r="E79" s="36">
        <v>100</v>
      </c>
      <c r="F79" s="37">
        <f t="shared" si="15"/>
        <v>98.333333333333329</v>
      </c>
      <c r="H79" s="32">
        <v>2</v>
      </c>
    </row>
    <row r="80" spans="1:8" ht="13.15" x14ac:dyDescent="0.4">
      <c r="A80" s="5" t="s">
        <v>140</v>
      </c>
      <c r="B80" s="36">
        <v>100</v>
      </c>
      <c r="C80" s="36">
        <v>100</v>
      </c>
      <c r="D80" s="36">
        <v>100</v>
      </c>
      <c r="E80" s="36">
        <v>100</v>
      </c>
      <c r="F80" s="37">
        <f t="shared" si="15"/>
        <v>100</v>
      </c>
      <c r="H80" s="32">
        <v>7</v>
      </c>
    </row>
    <row r="81" spans="1:8" ht="13.15" x14ac:dyDescent="0.4">
      <c r="A81" s="5" t="s">
        <v>95</v>
      </c>
      <c r="B81" s="36">
        <v>100</v>
      </c>
      <c r="C81" s="36">
        <v>100</v>
      </c>
      <c r="D81" s="36">
        <v>100</v>
      </c>
      <c r="E81" s="36">
        <v>100</v>
      </c>
      <c r="F81" s="37">
        <f t="shared" si="15"/>
        <v>100</v>
      </c>
      <c r="H81" s="32">
        <v>2</v>
      </c>
    </row>
    <row r="82" spans="1:8" ht="13.15" x14ac:dyDescent="0.4">
      <c r="A82" s="5" t="s">
        <v>96</v>
      </c>
      <c r="B82" s="36">
        <v>100</v>
      </c>
      <c r="C82" s="36">
        <v>100</v>
      </c>
      <c r="D82" s="36">
        <v>100</v>
      </c>
      <c r="E82" s="36">
        <v>100</v>
      </c>
      <c r="F82" s="37">
        <f t="shared" si="15"/>
        <v>100</v>
      </c>
      <c r="H82" s="32">
        <v>2</v>
      </c>
    </row>
    <row r="83" spans="1:8" ht="13.15" x14ac:dyDescent="0.4">
      <c r="A83" s="5" t="s">
        <v>141</v>
      </c>
      <c r="B83" s="36">
        <v>0</v>
      </c>
      <c r="C83" s="36">
        <v>0</v>
      </c>
      <c r="D83" s="36">
        <v>0</v>
      </c>
      <c r="E83" s="36">
        <v>0</v>
      </c>
      <c r="F83" s="37">
        <f t="shared" si="15"/>
        <v>0</v>
      </c>
      <c r="H83" s="32"/>
    </row>
    <row r="84" spans="1:8" ht="13.15" x14ac:dyDescent="0.4">
      <c r="A84" s="5" t="s">
        <v>142</v>
      </c>
      <c r="B84" s="36">
        <v>0</v>
      </c>
      <c r="C84" s="36">
        <v>0</v>
      </c>
      <c r="D84" s="36">
        <v>0</v>
      </c>
      <c r="E84" s="36">
        <v>0</v>
      </c>
      <c r="F84" s="37">
        <f t="shared" si="15"/>
        <v>0</v>
      </c>
      <c r="H84" s="32">
        <v>3</v>
      </c>
    </row>
    <row r="85" spans="1:8" ht="13.15" x14ac:dyDescent="0.4">
      <c r="A85" s="5" t="s">
        <v>143</v>
      </c>
      <c r="B85" s="36">
        <v>0</v>
      </c>
      <c r="C85" s="36">
        <v>0</v>
      </c>
      <c r="D85" s="36">
        <v>0</v>
      </c>
      <c r="E85" s="36">
        <v>0</v>
      </c>
      <c r="F85" s="37">
        <f t="shared" si="15"/>
        <v>0</v>
      </c>
      <c r="H85" s="32">
        <v>3</v>
      </c>
    </row>
    <row r="86" spans="1:8" ht="13.15" x14ac:dyDescent="0.4">
      <c r="A86" s="5" t="s">
        <v>97</v>
      </c>
      <c r="B86" s="36">
        <v>100</v>
      </c>
      <c r="C86" s="36">
        <v>100</v>
      </c>
      <c r="D86" s="36">
        <v>100</v>
      </c>
      <c r="E86" s="36">
        <v>100</v>
      </c>
      <c r="F86" s="37">
        <f t="shared" si="15"/>
        <v>100</v>
      </c>
      <c r="H86" s="32">
        <v>1</v>
      </c>
    </row>
    <row r="87" spans="1:8" ht="13.15" x14ac:dyDescent="0.4">
      <c r="A87" s="5" t="s">
        <v>98</v>
      </c>
      <c r="B87" s="36">
        <v>100</v>
      </c>
      <c r="C87" s="36">
        <v>100</v>
      </c>
      <c r="D87" s="36">
        <v>100</v>
      </c>
      <c r="E87" s="36">
        <v>100</v>
      </c>
      <c r="F87" s="37">
        <f t="shared" si="15"/>
        <v>100</v>
      </c>
      <c r="H87" s="32">
        <v>5</v>
      </c>
    </row>
    <row r="88" spans="1:8" ht="13.15" x14ac:dyDescent="0.4">
      <c r="A88" s="5" t="s">
        <v>144</v>
      </c>
      <c r="B88" s="36">
        <v>100</v>
      </c>
      <c r="C88" s="36">
        <v>100</v>
      </c>
      <c r="D88" s="36">
        <v>100</v>
      </c>
      <c r="E88" s="36">
        <v>100</v>
      </c>
      <c r="F88" s="37">
        <f t="shared" si="15"/>
        <v>100</v>
      </c>
      <c r="H88" s="32">
        <v>4</v>
      </c>
    </row>
    <row r="89" spans="1:8" ht="13.15" x14ac:dyDescent="0.4">
      <c r="A89" s="5" t="s">
        <v>99</v>
      </c>
      <c r="B89" s="36">
        <v>100</v>
      </c>
      <c r="C89" s="36">
        <v>100</v>
      </c>
      <c r="D89" s="36">
        <v>100</v>
      </c>
      <c r="E89" s="36">
        <v>100</v>
      </c>
      <c r="F89" s="37">
        <f t="shared" si="15"/>
        <v>100</v>
      </c>
      <c r="H89" s="32">
        <v>7</v>
      </c>
    </row>
    <row r="90" spans="1:8" ht="13.15" x14ac:dyDescent="0.4">
      <c r="A90" s="5" t="s">
        <v>100</v>
      </c>
      <c r="B90" s="36">
        <v>100</v>
      </c>
      <c r="C90" s="36">
        <v>100</v>
      </c>
      <c r="D90" s="36">
        <v>100</v>
      </c>
      <c r="E90" s="36">
        <v>100</v>
      </c>
      <c r="F90" s="37">
        <f t="shared" si="15"/>
        <v>100</v>
      </c>
      <c r="H90" s="32">
        <v>6</v>
      </c>
    </row>
    <row r="91" spans="1:8" ht="13.15" x14ac:dyDescent="0.35">
      <c r="H91" s="63"/>
    </row>
    <row r="92" spans="1:8" x14ac:dyDescent="0.35">
      <c r="A92" s="72" t="s">
        <v>108</v>
      </c>
      <c r="B92" s="72"/>
      <c r="C92" s="72"/>
      <c r="D92" s="72"/>
      <c r="E92" s="72"/>
      <c r="F92" s="72"/>
    </row>
    <row r="93" spans="1:8" x14ac:dyDescent="0.35">
      <c r="A93" s="33"/>
      <c r="B93" s="34" t="s">
        <v>37</v>
      </c>
      <c r="C93" s="34" t="s">
        <v>38</v>
      </c>
      <c r="D93" s="34" t="s">
        <v>42</v>
      </c>
      <c r="E93" s="35" t="s">
        <v>40</v>
      </c>
      <c r="F93" s="35" t="s">
        <v>18</v>
      </c>
    </row>
    <row r="94" spans="1:8" ht="13.15" x14ac:dyDescent="0.4">
      <c r="A94" s="5" t="s">
        <v>81</v>
      </c>
      <c r="B94" s="36">
        <v>100</v>
      </c>
      <c r="C94" s="36">
        <v>100</v>
      </c>
      <c r="D94" s="36">
        <v>100</v>
      </c>
      <c r="E94" s="36">
        <v>100</v>
      </c>
      <c r="F94" s="37">
        <f>AVERAGE(B94:E94)</f>
        <v>100</v>
      </c>
      <c r="H94" s="32">
        <v>5</v>
      </c>
    </row>
    <row r="95" spans="1:8" ht="13.15" x14ac:dyDescent="0.4">
      <c r="A95" s="5" t="s">
        <v>82</v>
      </c>
      <c r="B95" s="36">
        <v>100</v>
      </c>
      <c r="C95" s="36">
        <v>100</v>
      </c>
      <c r="D95" s="36">
        <v>100</v>
      </c>
      <c r="E95" s="36">
        <v>100</v>
      </c>
      <c r="F95" s="37">
        <f t="shared" ref="F95:F96" si="16">AVERAGE(B95:E95)</f>
        <v>100</v>
      </c>
      <c r="H95" s="32">
        <v>6</v>
      </c>
    </row>
    <row r="96" spans="1:8" ht="13.15" x14ac:dyDescent="0.4">
      <c r="A96" s="5" t="s">
        <v>83</v>
      </c>
      <c r="B96" s="36">
        <v>0</v>
      </c>
      <c r="C96" s="36">
        <v>0</v>
      </c>
      <c r="D96" s="36">
        <v>0</v>
      </c>
      <c r="E96" s="36">
        <v>0</v>
      </c>
      <c r="F96" s="37">
        <f t="shared" si="16"/>
        <v>0</v>
      </c>
      <c r="H96" s="32"/>
    </row>
    <row r="97" spans="1:8" ht="13.15" x14ac:dyDescent="0.4">
      <c r="A97" s="5" t="s">
        <v>84</v>
      </c>
      <c r="B97" s="36">
        <v>100</v>
      </c>
      <c r="C97" s="36">
        <v>100</v>
      </c>
      <c r="D97" s="36">
        <v>100</v>
      </c>
      <c r="E97" s="36">
        <v>100</v>
      </c>
      <c r="F97" s="37">
        <f t="shared" ref="F97:F120" si="17">AVERAGE(B97:E97)</f>
        <v>100</v>
      </c>
      <c r="H97" s="32">
        <v>2</v>
      </c>
    </row>
    <row r="98" spans="1:8" ht="13.15" x14ac:dyDescent="0.4">
      <c r="A98" s="5" t="s">
        <v>138</v>
      </c>
      <c r="B98" s="36">
        <v>0</v>
      </c>
      <c r="C98" s="36">
        <v>0</v>
      </c>
      <c r="D98" s="36">
        <v>0</v>
      </c>
      <c r="E98" s="36">
        <v>0</v>
      </c>
      <c r="F98" s="37">
        <f t="shared" si="17"/>
        <v>0</v>
      </c>
      <c r="H98" s="32">
        <v>3</v>
      </c>
    </row>
    <row r="99" spans="1:8" ht="13.15" x14ac:dyDescent="0.4">
      <c r="A99" s="5" t="s">
        <v>85</v>
      </c>
      <c r="B99" s="36">
        <v>100</v>
      </c>
      <c r="C99" s="36">
        <v>100</v>
      </c>
      <c r="D99" s="36">
        <v>100</v>
      </c>
      <c r="E99" s="36">
        <v>100</v>
      </c>
      <c r="F99" s="37">
        <f t="shared" si="17"/>
        <v>100</v>
      </c>
      <c r="H99" s="32">
        <v>5</v>
      </c>
    </row>
    <row r="100" spans="1:8" ht="13.15" x14ac:dyDescent="0.4">
      <c r="A100" s="5" t="s">
        <v>86</v>
      </c>
      <c r="B100" s="36">
        <v>100</v>
      </c>
      <c r="C100" s="36">
        <v>100</v>
      </c>
      <c r="D100" s="36">
        <v>100</v>
      </c>
      <c r="E100" s="36">
        <v>100</v>
      </c>
      <c r="F100" s="37">
        <f t="shared" si="17"/>
        <v>100</v>
      </c>
      <c r="H100" s="32">
        <v>1</v>
      </c>
    </row>
    <row r="101" spans="1:8" ht="13.15" x14ac:dyDescent="0.4">
      <c r="A101" s="5" t="s">
        <v>87</v>
      </c>
      <c r="B101" s="36">
        <v>100</v>
      </c>
      <c r="C101" s="36">
        <v>100</v>
      </c>
      <c r="D101" s="36">
        <v>100</v>
      </c>
      <c r="E101" s="36">
        <v>100</v>
      </c>
      <c r="F101" s="37">
        <f t="shared" si="17"/>
        <v>100</v>
      </c>
      <c r="H101" s="32">
        <v>7</v>
      </c>
    </row>
    <row r="102" spans="1:8" ht="13.15" x14ac:dyDescent="0.4">
      <c r="A102" s="5" t="s">
        <v>88</v>
      </c>
      <c r="B102" s="36">
        <v>100</v>
      </c>
      <c r="C102" s="36">
        <v>100</v>
      </c>
      <c r="D102" s="36">
        <v>100</v>
      </c>
      <c r="E102" s="36">
        <v>100</v>
      </c>
      <c r="F102" s="37">
        <f t="shared" si="17"/>
        <v>100</v>
      </c>
      <c r="H102" s="32">
        <v>1</v>
      </c>
    </row>
    <row r="103" spans="1:8" ht="13.15" x14ac:dyDescent="0.4">
      <c r="A103" s="5" t="s">
        <v>139</v>
      </c>
      <c r="B103" s="36">
        <v>100</v>
      </c>
      <c r="C103" s="36">
        <v>100</v>
      </c>
      <c r="D103" s="36">
        <v>100</v>
      </c>
      <c r="E103" s="36">
        <v>100</v>
      </c>
      <c r="F103" s="37">
        <f t="shared" si="17"/>
        <v>100</v>
      </c>
      <c r="H103" s="32">
        <v>4</v>
      </c>
    </row>
    <row r="104" spans="1:8" ht="13.15" x14ac:dyDescent="0.4">
      <c r="A104" s="5" t="s">
        <v>89</v>
      </c>
      <c r="B104" s="36">
        <v>100</v>
      </c>
      <c r="C104" s="36">
        <v>100</v>
      </c>
      <c r="D104" s="36">
        <v>100</v>
      </c>
      <c r="E104" s="36">
        <v>100</v>
      </c>
      <c r="F104" s="37">
        <f t="shared" si="17"/>
        <v>100</v>
      </c>
      <c r="H104" s="32">
        <v>6</v>
      </c>
    </row>
    <row r="105" spans="1:8" ht="13.15" x14ac:dyDescent="0.4">
      <c r="A105" s="5" t="s">
        <v>90</v>
      </c>
      <c r="B105" s="36">
        <v>100</v>
      </c>
      <c r="C105" s="36">
        <v>100</v>
      </c>
      <c r="D105" s="36">
        <v>100</v>
      </c>
      <c r="E105" s="36">
        <v>100</v>
      </c>
      <c r="F105" s="37">
        <f t="shared" si="17"/>
        <v>100</v>
      </c>
      <c r="H105" s="32">
        <v>4</v>
      </c>
    </row>
    <row r="106" spans="1:8" ht="13.15" x14ac:dyDescent="0.4">
      <c r="A106" s="5" t="s">
        <v>91</v>
      </c>
      <c r="B106" s="36">
        <v>100</v>
      </c>
      <c r="C106" s="36">
        <v>100</v>
      </c>
      <c r="D106" s="36">
        <v>100</v>
      </c>
      <c r="E106" s="36">
        <v>100</v>
      </c>
      <c r="F106" s="37">
        <f t="shared" si="17"/>
        <v>100</v>
      </c>
      <c r="H106" s="32">
        <v>6</v>
      </c>
    </row>
    <row r="107" spans="1:8" ht="13.15" x14ac:dyDescent="0.4">
      <c r="A107" s="5" t="s">
        <v>92</v>
      </c>
      <c r="B107" s="36">
        <v>100</v>
      </c>
      <c r="C107" s="36">
        <v>100</v>
      </c>
      <c r="D107" s="36">
        <v>100</v>
      </c>
      <c r="E107" s="36">
        <v>100</v>
      </c>
      <c r="F107" s="37">
        <f t="shared" si="17"/>
        <v>100</v>
      </c>
      <c r="H107" s="32">
        <v>7</v>
      </c>
    </row>
    <row r="108" spans="1:8" ht="13.15" x14ac:dyDescent="0.4">
      <c r="A108" s="5" t="s">
        <v>93</v>
      </c>
      <c r="B108" s="36">
        <v>100</v>
      </c>
      <c r="C108" s="36">
        <v>100</v>
      </c>
      <c r="D108" s="36">
        <v>100</v>
      </c>
      <c r="E108" s="36">
        <v>100</v>
      </c>
      <c r="F108" s="37">
        <f t="shared" si="17"/>
        <v>100</v>
      </c>
      <c r="H108" s="32">
        <v>1</v>
      </c>
    </row>
    <row r="109" spans="1:8" ht="13.15" x14ac:dyDescent="0.4">
      <c r="A109" s="5" t="s">
        <v>94</v>
      </c>
      <c r="B109" s="36">
        <v>100</v>
      </c>
      <c r="C109" s="36">
        <f>28/30*100</f>
        <v>93.333333333333329</v>
      </c>
      <c r="D109" s="36">
        <v>100</v>
      </c>
      <c r="E109" s="36">
        <v>100</v>
      </c>
      <c r="F109" s="37">
        <f t="shared" si="17"/>
        <v>98.333333333333329</v>
      </c>
      <c r="H109" s="32">
        <v>2</v>
      </c>
    </row>
    <row r="110" spans="1:8" ht="13.15" x14ac:dyDescent="0.4">
      <c r="A110" s="5" t="s">
        <v>140</v>
      </c>
      <c r="B110" s="36">
        <v>100</v>
      </c>
      <c r="C110" s="36">
        <v>100</v>
      </c>
      <c r="D110" s="36">
        <v>100</v>
      </c>
      <c r="E110" s="36">
        <v>100</v>
      </c>
      <c r="F110" s="37">
        <f t="shared" si="17"/>
        <v>100</v>
      </c>
      <c r="H110" s="32">
        <v>7</v>
      </c>
    </row>
    <row r="111" spans="1:8" ht="13.15" x14ac:dyDescent="0.4">
      <c r="A111" s="5" t="s">
        <v>95</v>
      </c>
      <c r="B111" s="36">
        <v>100</v>
      </c>
      <c r="C111" s="36">
        <v>100</v>
      </c>
      <c r="D111" s="36">
        <v>100</v>
      </c>
      <c r="E111" s="36">
        <v>100</v>
      </c>
      <c r="F111" s="37">
        <f t="shared" si="17"/>
        <v>100</v>
      </c>
      <c r="H111" s="32">
        <v>2</v>
      </c>
    </row>
    <row r="112" spans="1:8" ht="13.15" x14ac:dyDescent="0.4">
      <c r="A112" s="5" t="s">
        <v>96</v>
      </c>
      <c r="B112" s="36">
        <v>100</v>
      </c>
      <c r="C112" s="36">
        <v>100</v>
      </c>
      <c r="D112" s="36">
        <v>100</v>
      </c>
      <c r="E112" s="36">
        <v>100</v>
      </c>
      <c r="F112" s="37">
        <f t="shared" si="17"/>
        <v>100</v>
      </c>
      <c r="H112" s="32">
        <v>2</v>
      </c>
    </row>
    <row r="113" spans="1:8" ht="13.15" x14ac:dyDescent="0.4">
      <c r="A113" s="5" t="s">
        <v>141</v>
      </c>
      <c r="B113" s="36">
        <v>0</v>
      </c>
      <c r="C113" s="36">
        <v>0</v>
      </c>
      <c r="D113" s="36">
        <v>0</v>
      </c>
      <c r="E113" s="36">
        <v>0</v>
      </c>
      <c r="F113" s="37">
        <f t="shared" si="17"/>
        <v>0</v>
      </c>
      <c r="H113" s="32"/>
    </row>
    <row r="114" spans="1:8" ht="13.15" x14ac:dyDescent="0.4">
      <c r="A114" s="5" t="s">
        <v>142</v>
      </c>
      <c r="B114" s="36">
        <v>0</v>
      </c>
      <c r="C114" s="36">
        <v>0</v>
      </c>
      <c r="D114" s="36">
        <v>0</v>
      </c>
      <c r="E114" s="36">
        <v>0</v>
      </c>
      <c r="F114" s="37">
        <f t="shared" si="17"/>
        <v>0</v>
      </c>
      <c r="H114" s="32">
        <v>3</v>
      </c>
    </row>
    <row r="115" spans="1:8" ht="13.15" x14ac:dyDescent="0.4">
      <c r="A115" s="5" t="s">
        <v>143</v>
      </c>
      <c r="B115" s="36">
        <v>0</v>
      </c>
      <c r="C115" s="36">
        <v>0</v>
      </c>
      <c r="D115" s="36">
        <v>0</v>
      </c>
      <c r="E115" s="36">
        <v>0</v>
      </c>
      <c r="F115" s="37">
        <f t="shared" si="17"/>
        <v>0</v>
      </c>
      <c r="H115" s="32">
        <v>3</v>
      </c>
    </row>
    <row r="116" spans="1:8" ht="13.15" x14ac:dyDescent="0.4">
      <c r="A116" s="5" t="s">
        <v>97</v>
      </c>
      <c r="B116" s="36">
        <v>100</v>
      </c>
      <c r="C116" s="36">
        <v>100</v>
      </c>
      <c r="D116" s="36">
        <v>100</v>
      </c>
      <c r="E116" s="36">
        <v>100</v>
      </c>
      <c r="F116" s="37">
        <f t="shared" si="17"/>
        <v>100</v>
      </c>
      <c r="H116" s="32">
        <v>1</v>
      </c>
    </row>
    <row r="117" spans="1:8" ht="13.15" x14ac:dyDescent="0.4">
      <c r="A117" s="5" t="s">
        <v>98</v>
      </c>
      <c r="B117" s="36">
        <v>100</v>
      </c>
      <c r="C117" s="36">
        <v>100</v>
      </c>
      <c r="D117" s="36">
        <v>100</v>
      </c>
      <c r="E117" s="36">
        <v>100</v>
      </c>
      <c r="F117" s="37">
        <f t="shared" si="17"/>
        <v>100</v>
      </c>
      <c r="H117" s="32">
        <v>5</v>
      </c>
    </row>
    <row r="118" spans="1:8" ht="13.15" x14ac:dyDescent="0.4">
      <c r="A118" s="5" t="s">
        <v>144</v>
      </c>
      <c r="B118" s="36">
        <v>100</v>
      </c>
      <c r="C118" s="36">
        <v>100</v>
      </c>
      <c r="D118" s="36">
        <v>100</v>
      </c>
      <c r="E118" s="36">
        <v>100</v>
      </c>
      <c r="F118" s="37">
        <f t="shared" si="17"/>
        <v>100</v>
      </c>
      <c r="H118" s="32">
        <v>4</v>
      </c>
    </row>
    <row r="119" spans="1:8" ht="13.15" x14ac:dyDescent="0.4">
      <c r="A119" s="5" t="s">
        <v>99</v>
      </c>
      <c r="B119" s="36">
        <v>100</v>
      </c>
      <c r="C119" s="36">
        <v>100</v>
      </c>
      <c r="D119" s="36">
        <v>100</v>
      </c>
      <c r="E119" s="36">
        <v>100</v>
      </c>
      <c r="F119" s="37">
        <f t="shared" si="17"/>
        <v>100</v>
      </c>
      <c r="H119" s="32">
        <v>7</v>
      </c>
    </row>
    <row r="120" spans="1:8" ht="13.15" x14ac:dyDescent="0.4">
      <c r="A120" s="5" t="s">
        <v>100</v>
      </c>
      <c r="B120" s="36">
        <v>100</v>
      </c>
      <c r="C120" s="36">
        <v>100</v>
      </c>
      <c r="D120" s="36">
        <v>100</v>
      </c>
      <c r="E120" s="36">
        <v>100</v>
      </c>
      <c r="F120" s="37">
        <f t="shared" si="17"/>
        <v>100</v>
      </c>
      <c r="H120" s="32">
        <v>6</v>
      </c>
    </row>
  </sheetData>
  <sheetProtection selectLockedCells="1" selectUnlockedCells="1"/>
  <mergeCells count="4">
    <mergeCell ref="A1:M1"/>
    <mergeCell ref="A32:F32"/>
    <mergeCell ref="A62:F62"/>
    <mergeCell ref="A92:F9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0"/>
  <sheetViews>
    <sheetView tabSelected="1" workbookViewId="0">
      <pane xSplit="1" ySplit="3" topLeftCell="B7" activePane="bottomRight" state="frozen"/>
      <selection pane="topRight" activeCell="C1" sqref="C1"/>
      <selection pane="bottomLeft" activeCell="A9" sqref="A9"/>
      <selection pane="bottomRight" activeCell="G104" sqref="G104"/>
    </sheetView>
  </sheetViews>
  <sheetFormatPr baseColWidth="10" defaultColWidth="11.3984375" defaultRowHeight="12.75" x14ac:dyDescent="0.35"/>
  <cols>
    <col min="1" max="1" width="7.73046875" style="11" customWidth="1"/>
    <col min="2" max="8" width="11.59765625" style="11" customWidth="1"/>
    <col min="9" max="9" width="32.53125" style="11" bestFit="1" customWidth="1"/>
    <col min="10" max="16384" width="11.3984375" style="11"/>
  </cols>
  <sheetData>
    <row r="1" spans="1:11" ht="15" x14ac:dyDescent="0.4">
      <c r="A1" s="73" t="s">
        <v>136</v>
      </c>
      <c r="B1" s="73"/>
      <c r="C1" s="73"/>
      <c r="D1" s="73"/>
      <c r="E1" s="73"/>
    </row>
    <row r="2" spans="1:11" ht="13.15" x14ac:dyDescent="0.4">
      <c r="A2" s="12"/>
      <c r="B2" s="13"/>
      <c r="C2" s="13"/>
      <c r="D2" s="13"/>
      <c r="E2" s="14"/>
    </row>
    <row r="3" spans="1:11" x14ac:dyDescent="0.35">
      <c r="A3" s="21" t="s">
        <v>2</v>
      </c>
      <c r="B3" s="21" t="s">
        <v>116</v>
      </c>
      <c r="C3" s="21" t="s">
        <v>117</v>
      </c>
      <c r="D3" s="21" t="s">
        <v>118</v>
      </c>
      <c r="E3" s="21" t="s">
        <v>18</v>
      </c>
      <c r="I3" s="15" t="s">
        <v>19</v>
      </c>
      <c r="J3" s="15" t="s">
        <v>20</v>
      </c>
      <c r="K3" s="15" t="s">
        <v>78</v>
      </c>
    </row>
    <row r="4" spans="1:11" ht="13.15" x14ac:dyDescent="0.4">
      <c r="A4" s="5" t="s">
        <v>81</v>
      </c>
      <c r="B4" s="22">
        <f>I34</f>
        <v>98</v>
      </c>
      <c r="C4" s="22">
        <f>I64</f>
        <v>100</v>
      </c>
      <c r="D4" s="22">
        <f>I94</f>
        <v>100</v>
      </c>
      <c r="E4" s="16">
        <f>AVERAGE(B4:D4)</f>
        <v>99.333333333333329</v>
      </c>
      <c r="G4" s="32">
        <v>5</v>
      </c>
      <c r="I4" s="6" t="s">
        <v>120</v>
      </c>
      <c r="J4" s="18">
        <v>10</v>
      </c>
      <c r="K4" s="51">
        <f>J4*10/$J$11/100</f>
        <v>0.01</v>
      </c>
    </row>
    <row r="5" spans="1:11" ht="13.15" x14ac:dyDescent="0.4">
      <c r="A5" s="5" t="s">
        <v>82</v>
      </c>
      <c r="B5" s="22">
        <f t="shared" ref="B5:B30" si="0">I35</f>
        <v>100</v>
      </c>
      <c r="C5" s="22">
        <f t="shared" ref="C5:C30" si="1">I65</f>
        <v>100</v>
      </c>
      <c r="D5" s="22">
        <f t="shared" ref="D5:D30" si="2">I95</f>
        <v>100</v>
      </c>
      <c r="E5" s="16">
        <f t="shared" ref="E5:E30" si="3">AVERAGE(B5:D5)</f>
        <v>100</v>
      </c>
      <c r="G5" s="32">
        <v>6</v>
      </c>
      <c r="I5" s="6" t="s">
        <v>121</v>
      </c>
      <c r="J5" s="18">
        <v>10</v>
      </c>
      <c r="K5" s="51">
        <f t="shared" ref="K5:K10" si="4">J5*10/$J$11/100</f>
        <v>0.01</v>
      </c>
    </row>
    <row r="6" spans="1:11" ht="13.15" x14ac:dyDescent="0.4">
      <c r="A6" s="5" t="s">
        <v>83</v>
      </c>
      <c r="B6" s="22">
        <f t="shared" si="0"/>
        <v>0</v>
      </c>
      <c r="C6" s="22">
        <f t="shared" si="1"/>
        <v>0</v>
      </c>
      <c r="D6" s="22">
        <f t="shared" si="2"/>
        <v>0</v>
      </c>
      <c r="E6" s="16">
        <f t="shared" si="3"/>
        <v>0</v>
      </c>
      <c r="G6" s="32">
        <v>5</v>
      </c>
      <c r="I6" s="6" t="s">
        <v>122</v>
      </c>
      <c r="J6" s="18">
        <v>10</v>
      </c>
      <c r="K6" s="51">
        <f t="shared" si="4"/>
        <v>0.01</v>
      </c>
    </row>
    <row r="7" spans="1:11" ht="13.15" x14ac:dyDescent="0.4">
      <c r="A7" s="5" t="s">
        <v>84</v>
      </c>
      <c r="B7" s="22">
        <f t="shared" si="0"/>
        <v>99</v>
      </c>
      <c r="C7" s="22">
        <f t="shared" si="1"/>
        <v>99</v>
      </c>
      <c r="D7" s="22">
        <f t="shared" si="2"/>
        <v>97</v>
      </c>
      <c r="E7" s="16">
        <f t="shared" si="3"/>
        <v>98.333333333333329</v>
      </c>
      <c r="G7" s="32">
        <v>2</v>
      </c>
      <c r="I7" s="6" t="s">
        <v>123</v>
      </c>
      <c r="J7" s="18">
        <v>10</v>
      </c>
      <c r="K7" s="51">
        <f t="shared" si="4"/>
        <v>0.01</v>
      </c>
    </row>
    <row r="8" spans="1:11" ht="13.15" x14ac:dyDescent="0.4">
      <c r="A8" s="5" t="s">
        <v>138</v>
      </c>
      <c r="B8" s="22">
        <f t="shared" si="0"/>
        <v>85</v>
      </c>
      <c r="C8" s="22">
        <f t="shared" si="1"/>
        <v>50</v>
      </c>
      <c r="D8" s="22">
        <f t="shared" si="2"/>
        <v>97</v>
      </c>
      <c r="E8" s="16">
        <f t="shared" si="3"/>
        <v>77.333333333333329</v>
      </c>
      <c r="G8" s="32">
        <v>3</v>
      </c>
      <c r="I8" s="6" t="s">
        <v>124</v>
      </c>
      <c r="J8" s="18">
        <v>20</v>
      </c>
      <c r="K8" s="51">
        <f t="shared" si="4"/>
        <v>0.02</v>
      </c>
    </row>
    <row r="9" spans="1:11" ht="13.15" x14ac:dyDescent="0.4">
      <c r="A9" s="5" t="s">
        <v>85</v>
      </c>
      <c r="B9" s="22">
        <f t="shared" si="0"/>
        <v>98</v>
      </c>
      <c r="C9" s="22">
        <f t="shared" si="1"/>
        <v>100</v>
      </c>
      <c r="D9" s="22">
        <f t="shared" si="2"/>
        <v>100</v>
      </c>
      <c r="E9" s="16">
        <f t="shared" si="3"/>
        <v>99.333333333333329</v>
      </c>
      <c r="G9" s="32">
        <v>5</v>
      </c>
      <c r="I9" s="6" t="s">
        <v>125</v>
      </c>
      <c r="J9" s="18">
        <v>20</v>
      </c>
      <c r="K9" s="51">
        <f t="shared" si="4"/>
        <v>0.02</v>
      </c>
    </row>
    <row r="10" spans="1:11" ht="13.15" x14ac:dyDescent="0.4">
      <c r="A10" s="5" t="s">
        <v>86</v>
      </c>
      <c r="B10" s="22">
        <f t="shared" si="0"/>
        <v>100</v>
      </c>
      <c r="C10" s="22">
        <f t="shared" si="1"/>
        <v>100</v>
      </c>
      <c r="D10" s="22">
        <f t="shared" si="2"/>
        <v>97</v>
      </c>
      <c r="E10" s="16">
        <f t="shared" si="3"/>
        <v>99</v>
      </c>
      <c r="G10" s="32">
        <v>1</v>
      </c>
      <c r="I10" s="6" t="s">
        <v>126</v>
      </c>
      <c r="J10" s="18">
        <v>20</v>
      </c>
      <c r="K10" s="51">
        <f t="shared" si="4"/>
        <v>0.02</v>
      </c>
    </row>
    <row r="11" spans="1:11" ht="13.15" x14ac:dyDescent="0.4">
      <c r="A11" s="5" t="s">
        <v>87</v>
      </c>
      <c r="B11" s="22">
        <f t="shared" si="0"/>
        <v>100</v>
      </c>
      <c r="C11" s="22">
        <f t="shared" si="1"/>
        <v>100</v>
      </c>
      <c r="D11" s="22">
        <f t="shared" si="2"/>
        <v>100</v>
      </c>
      <c r="E11" s="16">
        <f t="shared" si="3"/>
        <v>100</v>
      </c>
      <c r="G11" s="32">
        <v>7</v>
      </c>
      <c r="I11" s="19" t="s">
        <v>21</v>
      </c>
      <c r="J11" s="20">
        <f>SUM(J4:J10)</f>
        <v>100</v>
      </c>
      <c r="K11" s="50">
        <f>SUM(K4:K10)</f>
        <v>0.1</v>
      </c>
    </row>
    <row r="12" spans="1:11" ht="13.15" x14ac:dyDescent="0.4">
      <c r="A12" s="5" t="s">
        <v>88</v>
      </c>
      <c r="B12" s="22">
        <f t="shared" si="0"/>
        <v>100</v>
      </c>
      <c r="C12" s="22">
        <f t="shared" si="1"/>
        <v>100</v>
      </c>
      <c r="D12" s="22">
        <f t="shared" si="2"/>
        <v>97</v>
      </c>
      <c r="E12" s="16">
        <f t="shared" si="3"/>
        <v>99</v>
      </c>
      <c r="G12" s="32">
        <v>1</v>
      </c>
    </row>
    <row r="13" spans="1:11" ht="13.15" x14ac:dyDescent="0.4">
      <c r="A13" s="5" t="s">
        <v>139</v>
      </c>
      <c r="B13" s="22">
        <f t="shared" si="0"/>
        <v>99</v>
      </c>
      <c r="C13" s="22">
        <f t="shared" si="1"/>
        <v>100</v>
      </c>
      <c r="D13" s="22">
        <f t="shared" si="2"/>
        <v>97</v>
      </c>
      <c r="E13" s="16">
        <f t="shared" si="3"/>
        <v>98.666666666666671</v>
      </c>
      <c r="G13" s="32">
        <v>4</v>
      </c>
    </row>
    <row r="14" spans="1:11" ht="13.15" x14ac:dyDescent="0.4">
      <c r="A14" s="5" t="s">
        <v>89</v>
      </c>
      <c r="B14" s="22">
        <f t="shared" si="0"/>
        <v>100</v>
      </c>
      <c r="C14" s="22">
        <f t="shared" si="1"/>
        <v>100</v>
      </c>
      <c r="D14" s="22">
        <f t="shared" si="2"/>
        <v>100</v>
      </c>
      <c r="E14" s="16">
        <f t="shared" si="3"/>
        <v>100</v>
      </c>
      <c r="G14" s="32">
        <v>6</v>
      </c>
    </row>
    <row r="15" spans="1:11" ht="13.15" x14ac:dyDescent="0.4">
      <c r="A15" s="5" t="s">
        <v>90</v>
      </c>
      <c r="B15" s="22">
        <f t="shared" si="0"/>
        <v>99</v>
      </c>
      <c r="C15" s="22">
        <f t="shared" si="1"/>
        <v>100</v>
      </c>
      <c r="D15" s="22">
        <f t="shared" si="2"/>
        <v>96</v>
      </c>
      <c r="E15" s="16">
        <f t="shared" si="3"/>
        <v>98.333333333333329</v>
      </c>
      <c r="G15" s="32">
        <v>4</v>
      </c>
    </row>
    <row r="16" spans="1:11" ht="13.15" x14ac:dyDescent="0.4">
      <c r="A16" s="5" t="s">
        <v>91</v>
      </c>
      <c r="B16" s="22">
        <f t="shared" si="0"/>
        <v>100</v>
      </c>
      <c r="C16" s="22">
        <f t="shared" si="1"/>
        <v>100</v>
      </c>
      <c r="D16" s="22">
        <f t="shared" si="2"/>
        <v>100</v>
      </c>
      <c r="E16" s="16">
        <f t="shared" si="3"/>
        <v>100</v>
      </c>
      <c r="G16" s="32">
        <v>6</v>
      </c>
    </row>
    <row r="17" spans="1:9" ht="13.15" x14ac:dyDescent="0.4">
      <c r="A17" s="5" t="s">
        <v>92</v>
      </c>
      <c r="B17" s="22">
        <f t="shared" si="0"/>
        <v>100</v>
      </c>
      <c r="C17" s="22">
        <f t="shared" si="1"/>
        <v>100</v>
      </c>
      <c r="D17" s="22">
        <f t="shared" si="2"/>
        <v>100</v>
      </c>
      <c r="E17" s="16">
        <f t="shared" si="3"/>
        <v>100</v>
      </c>
      <c r="G17" s="32">
        <v>7</v>
      </c>
    </row>
    <row r="18" spans="1:9" ht="13.15" x14ac:dyDescent="0.4">
      <c r="A18" s="5" t="s">
        <v>93</v>
      </c>
      <c r="B18" s="22">
        <f t="shared" si="0"/>
        <v>100</v>
      </c>
      <c r="C18" s="22">
        <f t="shared" si="1"/>
        <v>100</v>
      </c>
      <c r="D18" s="22">
        <f t="shared" si="2"/>
        <v>97</v>
      </c>
      <c r="E18" s="16">
        <f t="shared" si="3"/>
        <v>99</v>
      </c>
      <c r="G18" s="32">
        <v>1</v>
      </c>
    </row>
    <row r="19" spans="1:9" ht="13.15" x14ac:dyDescent="0.4">
      <c r="A19" s="5" t="s">
        <v>94</v>
      </c>
      <c r="B19" s="22">
        <f t="shared" si="0"/>
        <v>99</v>
      </c>
      <c r="C19" s="22">
        <f t="shared" si="1"/>
        <v>99</v>
      </c>
      <c r="D19" s="22">
        <f t="shared" si="2"/>
        <v>97</v>
      </c>
      <c r="E19" s="16">
        <f t="shared" si="3"/>
        <v>98.333333333333329</v>
      </c>
      <c r="G19" s="32">
        <v>2</v>
      </c>
    </row>
    <row r="20" spans="1:9" ht="13.15" x14ac:dyDescent="0.4">
      <c r="A20" s="5" t="s">
        <v>140</v>
      </c>
      <c r="B20" s="22">
        <f t="shared" si="0"/>
        <v>100</v>
      </c>
      <c r="C20" s="22">
        <f t="shared" si="1"/>
        <v>100</v>
      </c>
      <c r="D20" s="22">
        <f t="shared" si="2"/>
        <v>100</v>
      </c>
      <c r="E20" s="16">
        <f t="shared" si="3"/>
        <v>100</v>
      </c>
      <c r="G20" s="32">
        <v>7</v>
      </c>
    </row>
    <row r="21" spans="1:9" ht="13.15" x14ac:dyDescent="0.4">
      <c r="A21" s="5" t="s">
        <v>95</v>
      </c>
      <c r="B21" s="22">
        <f t="shared" si="0"/>
        <v>99</v>
      </c>
      <c r="C21" s="22">
        <f t="shared" si="1"/>
        <v>99</v>
      </c>
      <c r="D21" s="22">
        <f t="shared" si="2"/>
        <v>97</v>
      </c>
      <c r="E21" s="16">
        <f t="shared" si="3"/>
        <v>98.333333333333329</v>
      </c>
      <c r="G21" s="32">
        <v>2</v>
      </c>
    </row>
    <row r="22" spans="1:9" ht="13.15" x14ac:dyDescent="0.4">
      <c r="A22" s="5" t="s">
        <v>96</v>
      </c>
      <c r="B22" s="22">
        <f t="shared" si="0"/>
        <v>99</v>
      </c>
      <c r="C22" s="22">
        <f t="shared" si="1"/>
        <v>99</v>
      </c>
      <c r="D22" s="22">
        <f t="shared" si="2"/>
        <v>97</v>
      </c>
      <c r="E22" s="16">
        <f t="shared" si="3"/>
        <v>98.333333333333329</v>
      </c>
      <c r="G22" s="32">
        <v>2</v>
      </c>
    </row>
    <row r="23" spans="1:9" ht="13.15" x14ac:dyDescent="0.4">
      <c r="A23" s="5" t="s">
        <v>141</v>
      </c>
      <c r="B23" s="22">
        <f t="shared" si="0"/>
        <v>0</v>
      </c>
      <c r="C23" s="22">
        <f t="shared" si="1"/>
        <v>0</v>
      </c>
      <c r="D23" s="22">
        <f t="shared" si="2"/>
        <v>0</v>
      </c>
      <c r="E23" s="16">
        <f t="shared" si="3"/>
        <v>0</v>
      </c>
      <c r="G23" s="32"/>
    </row>
    <row r="24" spans="1:9" ht="13.15" x14ac:dyDescent="0.4">
      <c r="A24" s="5" t="s">
        <v>142</v>
      </c>
      <c r="B24" s="22">
        <f t="shared" si="0"/>
        <v>85</v>
      </c>
      <c r="C24" s="22">
        <f t="shared" si="1"/>
        <v>50</v>
      </c>
      <c r="D24" s="22">
        <f t="shared" si="2"/>
        <v>0</v>
      </c>
      <c r="E24" s="16">
        <f t="shared" si="3"/>
        <v>45</v>
      </c>
      <c r="G24" s="32">
        <v>3</v>
      </c>
    </row>
    <row r="25" spans="1:9" ht="13.15" x14ac:dyDescent="0.4">
      <c r="A25" s="5" t="s">
        <v>143</v>
      </c>
      <c r="B25" s="22">
        <f t="shared" si="0"/>
        <v>85</v>
      </c>
      <c r="C25" s="22">
        <f t="shared" si="1"/>
        <v>50</v>
      </c>
      <c r="D25" s="22">
        <f t="shared" si="2"/>
        <v>0</v>
      </c>
      <c r="E25" s="16">
        <f t="shared" si="3"/>
        <v>45</v>
      </c>
      <c r="G25" s="32">
        <v>3</v>
      </c>
    </row>
    <row r="26" spans="1:9" ht="13.15" x14ac:dyDescent="0.4">
      <c r="A26" s="5" t="s">
        <v>97</v>
      </c>
      <c r="B26" s="22">
        <f t="shared" si="0"/>
        <v>100</v>
      </c>
      <c r="C26" s="22">
        <f t="shared" si="1"/>
        <v>100</v>
      </c>
      <c r="D26" s="22">
        <f t="shared" si="2"/>
        <v>97</v>
      </c>
      <c r="E26" s="16">
        <f t="shared" si="3"/>
        <v>99</v>
      </c>
      <c r="G26" s="32">
        <v>1</v>
      </c>
    </row>
    <row r="27" spans="1:9" ht="13.15" x14ac:dyDescent="0.4">
      <c r="A27" s="5" t="s">
        <v>98</v>
      </c>
      <c r="B27" s="22">
        <f t="shared" si="0"/>
        <v>98</v>
      </c>
      <c r="C27" s="22">
        <f t="shared" si="1"/>
        <v>100</v>
      </c>
      <c r="D27" s="22">
        <f t="shared" si="2"/>
        <v>100</v>
      </c>
      <c r="E27" s="16">
        <f t="shared" si="3"/>
        <v>99.333333333333329</v>
      </c>
      <c r="G27" s="32">
        <v>5</v>
      </c>
    </row>
    <row r="28" spans="1:9" ht="13.15" x14ac:dyDescent="0.4">
      <c r="A28" s="5" t="s">
        <v>144</v>
      </c>
      <c r="B28" s="22">
        <f t="shared" si="0"/>
        <v>99</v>
      </c>
      <c r="C28" s="22">
        <f t="shared" si="1"/>
        <v>100</v>
      </c>
      <c r="D28" s="22">
        <f t="shared" si="2"/>
        <v>97</v>
      </c>
      <c r="E28" s="16">
        <f t="shared" si="3"/>
        <v>98.666666666666671</v>
      </c>
      <c r="G28" s="32">
        <v>4</v>
      </c>
    </row>
    <row r="29" spans="1:9" ht="13.15" x14ac:dyDescent="0.4">
      <c r="A29" s="5" t="s">
        <v>99</v>
      </c>
      <c r="B29" s="22">
        <f t="shared" si="0"/>
        <v>100</v>
      </c>
      <c r="C29" s="22">
        <f t="shared" si="1"/>
        <v>100</v>
      </c>
      <c r="D29" s="22">
        <f t="shared" si="2"/>
        <v>100</v>
      </c>
      <c r="E29" s="16">
        <f t="shared" si="3"/>
        <v>100</v>
      </c>
      <c r="G29" s="32">
        <v>7</v>
      </c>
    </row>
    <row r="30" spans="1:9" ht="13.15" x14ac:dyDescent="0.4">
      <c r="A30" s="5" t="s">
        <v>100</v>
      </c>
      <c r="B30" s="22">
        <f t="shared" si="0"/>
        <v>100</v>
      </c>
      <c r="C30" s="22">
        <f t="shared" si="1"/>
        <v>100</v>
      </c>
      <c r="D30" s="22">
        <f t="shared" si="2"/>
        <v>100</v>
      </c>
      <c r="E30" s="16">
        <f t="shared" si="3"/>
        <v>100</v>
      </c>
      <c r="G30" s="32">
        <v>6</v>
      </c>
    </row>
    <row r="32" spans="1:9" x14ac:dyDescent="0.35">
      <c r="A32" s="72" t="s">
        <v>119</v>
      </c>
      <c r="B32" s="72"/>
      <c r="C32" s="72"/>
      <c r="D32" s="72"/>
      <c r="E32" s="72"/>
      <c r="F32" s="72"/>
      <c r="G32" s="72"/>
      <c r="H32" s="72"/>
      <c r="I32" s="72"/>
    </row>
    <row r="33" spans="1:11" x14ac:dyDescent="0.35">
      <c r="A33" s="33"/>
      <c r="B33" s="34">
        <v>1</v>
      </c>
      <c r="C33" s="34">
        <v>2</v>
      </c>
      <c r="D33" s="34">
        <v>3</v>
      </c>
      <c r="E33" s="35">
        <v>4</v>
      </c>
      <c r="F33" s="34">
        <v>5</v>
      </c>
      <c r="G33" s="34">
        <v>6</v>
      </c>
      <c r="H33" s="35">
        <v>7</v>
      </c>
      <c r="I33" s="35" t="s">
        <v>18</v>
      </c>
      <c r="J33"/>
    </row>
    <row r="34" spans="1:11" ht="13.15" x14ac:dyDescent="0.4">
      <c r="A34" s="5" t="s">
        <v>81</v>
      </c>
      <c r="B34" s="36">
        <v>100</v>
      </c>
      <c r="C34" s="36">
        <v>100</v>
      </c>
      <c r="D34" s="36">
        <v>100</v>
      </c>
      <c r="E34" s="36">
        <v>100</v>
      </c>
      <c r="F34" s="36">
        <v>90</v>
      </c>
      <c r="G34" s="36">
        <v>100</v>
      </c>
      <c r="H34" s="36">
        <v>100</v>
      </c>
      <c r="I34" s="37">
        <f>B34*0.1+C34*0.1+D34*0.1+E34*0.1+F34*0.2+G34*0.2+H34*0.2</f>
        <v>98</v>
      </c>
      <c r="J34"/>
      <c r="K34" s="32">
        <v>5</v>
      </c>
    </row>
    <row r="35" spans="1:11" ht="13.15" x14ac:dyDescent="0.4">
      <c r="A35" s="5" t="s">
        <v>82</v>
      </c>
      <c r="B35" s="36">
        <v>100</v>
      </c>
      <c r="C35" s="36">
        <v>100</v>
      </c>
      <c r="D35" s="36">
        <v>100</v>
      </c>
      <c r="E35" s="36">
        <v>100</v>
      </c>
      <c r="F35" s="36">
        <v>100</v>
      </c>
      <c r="G35" s="36">
        <v>100</v>
      </c>
      <c r="H35" s="36">
        <v>100</v>
      </c>
      <c r="I35" s="37">
        <f t="shared" ref="I35:I36" si="5">B35*0.1+C35*0.1+D35*0.1+E35*0.1+F35*0.2+G35*0.2+H35*0.2</f>
        <v>100</v>
      </c>
      <c r="J35"/>
      <c r="K35" s="32">
        <v>6</v>
      </c>
    </row>
    <row r="36" spans="1:11" ht="13.15" x14ac:dyDescent="0.4">
      <c r="A36" s="5" t="s">
        <v>83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7">
        <f t="shared" si="5"/>
        <v>0</v>
      </c>
      <c r="J36"/>
      <c r="K36" s="32">
        <v>5</v>
      </c>
    </row>
    <row r="37" spans="1:11" ht="13.15" x14ac:dyDescent="0.4">
      <c r="A37" s="5" t="s">
        <v>84</v>
      </c>
      <c r="B37" s="36">
        <v>100</v>
      </c>
      <c r="C37" s="36">
        <v>100</v>
      </c>
      <c r="D37" s="36">
        <v>100</v>
      </c>
      <c r="E37" s="36">
        <v>100</v>
      </c>
      <c r="F37" s="36">
        <v>95</v>
      </c>
      <c r="G37" s="36">
        <v>100</v>
      </c>
      <c r="H37" s="36">
        <v>100</v>
      </c>
      <c r="I37" s="37">
        <f t="shared" ref="I37:I60" si="6">B37*0.1+C37*0.1+D37*0.1+E37*0.1+F37*0.2+G37*0.2+H37*0.2</f>
        <v>99</v>
      </c>
      <c r="J37"/>
      <c r="K37" s="32">
        <v>2</v>
      </c>
    </row>
    <row r="38" spans="1:11" ht="13.15" x14ac:dyDescent="0.4">
      <c r="A38" s="5" t="s">
        <v>138</v>
      </c>
      <c r="B38" s="36">
        <v>100</v>
      </c>
      <c r="C38" s="36">
        <v>100</v>
      </c>
      <c r="D38" s="36">
        <v>100</v>
      </c>
      <c r="E38" s="36">
        <v>50</v>
      </c>
      <c r="F38" s="36">
        <v>50</v>
      </c>
      <c r="G38" s="36">
        <v>100</v>
      </c>
      <c r="H38" s="36">
        <v>100</v>
      </c>
      <c r="I38" s="37">
        <f t="shared" si="6"/>
        <v>85</v>
      </c>
      <c r="J38"/>
      <c r="K38" s="32">
        <v>3</v>
      </c>
    </row>
    <row r="39" spans="1:11" ht="13.15" x14ac:dyDescent="0.4">
      <c r="A39" s="5" t="s">
        <v>85</v>
      </c>
      <c r="B39" s="36">
        <v>100</v>
      </c>
      <c r="C39" s="36">
        <v>100</v>
      </c>
      <c r="D39" s="36">
        <v>100</v>
      </c>
      <c r="E39" s="36">
        <v>100</v>
      </c>
      <c r="F39" s="36">
        <v>90</v>
      </c>
      <c r="G39" s="36">
        <v>100</v>
      </c>
      <c r="H39" s="36">
        <v>100</v>
      </c>
      <c r="I39" s="37">
        <f t="shared" si="6"/>
        <v>98</v>
      </c>
      <c r="J39"/>
      <c r="K39" s="32">
        <v>5</v>
      </c>
    </row>
    <row r="40" spans="1:11" ht="13.15" x14ac:dyDescent="0.4">
      <c r="A40" s="5" t="s">
        <v>86</v>
      </c>
      <c r="B40" s="36">
        <v>100</v>
      </c>
      <c r="C40" s="36">
        <v>100</v>
      </c>
      <c r="D40" s="36">
        <v>100</v>
      </c>
      <c r="E40" s="36">
        <v>100</v>
      </c>
      <c r="F40" s="36">
        <v>100</v>
      </c>
      <c r="G40" s="36">
        <v>100</v>
      </c>
      <c r="H40" s="36">
        <v>100</v>
      </c>
      <c r="I40" s="37">
        <f t="shared" si="6"/>
        <v>100</v>
      </c>
      <c r="J40"/>
      <c r="K40" s="32">
        <v>1</v>
      </c>
    </row>
    <row r="41" spans="1:11" ht="13.15" x14ac:dyDescent="0.4">
      <c r="A41" s="5" t="s">
        <v>87</v>
      </c>
      <c r="B41" s="36">
        <v>100</v>
      </c>
      <c r="C41" s="36">
        <v>100</v>
      </c>
      <c r="D41" s="36">
        <v>100</v>
      </c>
      <c r="E41" s="36">
        <v>100</v>
      </c>
      <c r="F41" s="36">
        <v>100</v>
      </c>
      <c r="G41" s="36">
        <v>100</v>
      </c>
      <c r="H41" s="36">
        <v>100</v>
      </c>
      <c r="I41" s="37">
        <f t="shared" si="6"/>
        <v>100</v>
      </c>
      <c r="J41"/>
      <c r="K41" s="32">
        <v>7</v>
      </c>
    </row>
    <row r="42" spans="1:11" ht="13.15" x14ac:dyDescent="0.4">
      <c r="A42" s="5" t="s">
        <v>88</v>
      </c>
      <c r="B42" s="36">
        <v>100</v>
      </c>
      <c r="C42" s="36">
        <v>100</v>
      </c>
      <c r="D42" s="36">
        <v>100</v>
      </c>
      <c r="E42" s="36">
        <v>100</v>
      </c>
      <c r="F42" s="36">
        <v>100</v>
      </c>
      <c r="G42" s="36">
        <v>100</v>
      </c>
      <c r="H42" s="36">
        <v>100</v>
      </c>
      <c r="I42" s="37">
        <f t="shared" si="6"/>
        <v>100</v>
      </c>
      <c r="J42"/>
      <c r="K42" s="32">
        <v>1</v>
      </c>
    </row>
    <row r="43" spans="1:11" ht="13.15" x14ac:dyDescent="0.4">
      <c r="A43" s="5" t="s">
        <v>139</v>
      </c>
      <c r="B43" s="36">
        <v>100</v>
      </c>
      <c r="C43" s="36">
        <v>100</v>
      </c>
      <c r="D43" s="36">
        <v>100</v>
      </c>
      <c r="E43" s="36">
        <v>100</v>
      </c>
      <c r="F43" s="36">
        <v>95</v>
      </c>
      <c r="G43" s="36">
        <v>100</v>
      </c>
      <c r="H43" s="36">
        <v>100</v>
      </c>
      <c r="I43" s="37">
        <f t="shared" si="6"/>
        <v>99</v>
      </c>
      <c r="J43"/>
      <c r="K43" s="32">
        <v>4</v>
      </c>
    </row>
    <row r="44" spans="1:11" ht="13.15" x14ac:dyDescent="0.4">
      <c r="A44" s="5" t="s">
        <v>89</v>
      </c>
      <c r="B44" s="36">
        <v>100</v>
      </c>
      <c r="C44" s="36">
        <v>100</v>
      </c>
      <c r="D44" s="36">
        <v>100</v>
      </c>
      <c r="E44" s="36">
        <v>100</v>
      </c>
      <c r="F44" s="36">
        <v>100</v>
      </c>
      <c r="G44" s="36">
        <v>100</v>
      </c>
      <c r="H44" s="36">
        <v>100</v>
      </c>
      <c r="I44" s="37">
        <f t="shared" si="6"/>
        <v>100</v>
      </c>
      <c r="J44"/>
      <c r="K44" s="32">
        <v>6</v>
      </c>
    </row>
    <row r="45" spans="1:11" ht="13.15" x14ac:dyDescent="0.4">
      <c r="A45" s="5" t="s">
        <v>90</v>
      </c>
      <c r="B45" s="36">
        <v>100</v>
      </c>
      <c r="C45" s="36">
        <v>100</v>
      </c>
      <c r="D45" s="36">
        <v>100</v>
      </c>
      <c r="E45" s="36">
        <v>100</v>
      </c>
      <c r="F45" s="36">
        <v>95</v>
      </c>
      <c r="G45" s="36">
        <v>100</v>
      </c>
      <c r="H45" s="36">
        <v>100</v>
      </c>
      <c r="I45" s="37">
        <f t="shared" si="6"/>
        <v>99</v>
      </c>
      <c r="J45"/>
      <c r="K45" s="32">
        <v>4</v>
      </c>
    </row>
    <row r="46" spans="1:11" ht="13.15" x14ac:dyDescent="0.4">
      <c r="A46" s="5" t="s">
        <v>91</v>
      </c>
      <c r="B46" s="36">
        <v>100</v>
      </c>
      <c r="C46" s="36">
        <v>100</v>
      </c>
      <c r="D46" s="36">
        <v>100</v>
      </c>
      <c r="E46" s="36">
        <v>100</v>
      </c>
      <c r="F46" s="36">
        <v>100</v>
      </c>
      <c r="G46" s="36">
        <v>100</v>
      </c>
      <c r="H46" s="36">
        <v>100</v>
      </c>
      <c r="I46" s="37">
        <f t="shared" si="6"/>
        <v>100</v>
      </c>
      <c r="J46"/>
      <c r="K46" s="32">
        <v>6</v>
      </c>
    </row>
    <row r="47" spans="1:11" ht="13.15" x14ac:dyDescent="0.4">
      <c r="A47" s="5" t="s">
        <v>92</v>
      </c>
      <c r="B47" s="36">
        <v>100</v>
      </c>
      <c r="C47" s="36">
        <v>100</v>
      </c>
      <c r="D47" s="36">
        <v>100</v>
      </c>
      <c r="E47" s="36">
        <v>100</v>
      </c>
      <c r="F47" s="36">
        <v>100</v>
      </c>
      <c r="G47" s="36">
        <v>100</v>
      </c>
      <c r="H47" s="36">
        <v>100</v>
      </c>
      <c r="I47" s="37">
        <f t="shared" si="6"/>
        <v>100</v>
      </c>
      <c r="J47"/>
      <c r="K47" s="32">
        <v>7</v>
      </c>
    </row>
    <row r="48" spans="1:11" ht="13.15" x14ac:dyDescent="0.4">
      <c r="A48" s="5" t="s">
        <v>93</v>
      </c>
      <c r="B48" s="36">
        <v>100</v>
      </c>
      <c r="C48" s="36">
        <v>100</v>
      </c>
      <c r="D48" s="36">
        <v>100</v>
      </c>
      <c r="E48" s="36">
        <v>100</v>
      </c>
      <c r="F48" s="36">
        <v>100</v>
      </c>
      <c r="G48" s="36">
        <v>100</v>
      </c>
      <c r="H48" s="36">
        <v>100</v>
      </c>
      <c r="I48" s="37">
        <f t="shared" si="6"/>
        <v>100</v>
      </c>
      <c r="J48"/>
      <c r="K48" s="32">
        <v>1</v>
      </c>
    </row>
    <row r="49" spans="1:11" ht="13.15" x14ac:dyDescent="0.4">
      <c r="A49" s="5" t="s">
        <v>94</v>
      </c>
      <c r="B49" s="36">
        <v>100</v>
      </c>
      <c r="C49" s="36">
        <v>100</v>
      </c>
      <c r="D49" s="36">
        <v>100</v>
      </c>
      <c r="E49" s="36">
        <v>100</v>
      </c>
      <c r="F49" s="36">
        <v>95</v>
      </c>
      <c r="G49" s="36">
        <v>100</v>
      </c>
      <c r="H49" s="36">
        <v>100</v>
      </c>
      <c r="I49" s="37">
        <f t="shared" si="6"/>
        <v>99</v>
      </c>
      <c r="J49"/>
      <c r="K49" s="32">
        <v>2</v>
      </c>
    </row>
    <row r="50" spans="1:11" ht="13.15" x14ac:dyDescent="0.4">
      <c r="A50" s="5" t="s">
        <v>140</v>
      </c>
      <c r="B50" s="36">
        <v>100</v>
      </c>
      <c r="C50" s="36">
        <v>100</v>
      </c>
      <c r="D50" s="36">
        <v>100</v>
      </c>
      <c r="E50" s="36">
        <v>100</v>
      </c>
      <c r="F50" s="36">
        <v>100</v>
      </c>
      <c r="G50" s="36">
        <v>100</v>
      </c>
      <c r="H50" s="36">
        <v>100</v>
      </c>
      <c r="I50" s="37">
        <f t="shared" si="6"/>
        <v>100</v>
      </c>
      <c r="K50" s="32">
        <v>7</v>
      </c>
    </row>
    <row r="51" spans="1:11" ht="13.15" x14ac:dyDescent="0.4">
      <c r="A51" s="5" t="s">
        <v>95</v>
      </c>
      <c r="B51" s="36">
        <v>100</v>
      </c>
      <c r="C51" s="36">
        <v>100</v>
      </c>
      <c r="D51" s="36">
        <v>100</v>
      </c>
      <c r="E51" s="36">
        <v>100</v>
      </c>
      <c r="F51" s="36">
        <v>95</v>
      </c>
      <c r="G51" s="36">
        <v>100</v>
      </c>
      <c r="H51" s="36">
        <v>100</v>
      </c>
      <c r="I51" s="37">
        <f t="shared" si="6"/>
        <v>99</v>
      </c>
      <c r="K51" s="32">
        <v>2</v>
      </c>
    </row>
    <row r="52" spans="1:11" ht="13.15" x14ac:dyDescent="0.4">
      <c r="A52" s="5" t="s">
        <v>96</v>
      </c>
      <c r="B52" s="36">
        <v>100</v>
      </c>
      <c r="C52" s="36">
        <v>100</v>
      </c>
      <c r="D52" s="36">
        <v>100</v>
      </c>
      <c r="E52" s="36">
        <v>100</v>
      </c>
      <c r="F52" s="36">
        <v>95</v>
      </c>
      <c r="G52" s="36">
        <v>100</v>
      </c>
      <c r="H52" s="36">
        <v>100</v>
      </c>
      <c r="I52" s="37">
        <f t="shared" si="6"/>
        <v>99</v>
      </c>
      <c r="K52" s="32">
        <v>2</v>
      </c>
    </row>
    <row r="53" spans="1:11" ht="13.15" x14ac:dyDescent="0.4">
      <c r="A53" s="5" t="s">
        <v>141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7">
        <f t="shared" si="6"/>
        <v>0</v>
      </c>
      <c r="K53" s="32"/>
    </row>
    <row r="54" spans="1:11" ht="13.15" x14ac:dyDescent="0.4">
      <c r="A54" s="5" t="s">
        <v>142</v>
      </c>
      <c r="B54" s="36">
        <v>100</v>
      </c>
      <c r="C54" s="36">
        <v>100</v>
      </c>
      <c r="D54" s="36">
        <v>100</v>
      </c>
      <c r="E54" s="36">
        <v>50</v>
      </c>
      <c r="F54" s="36">
        <v>50</v>
      </c>
      <c r="G54" s="36">
        <v>100</v>
      </c>
      <c r="H54" s="36">
        <v>100</v>
      </c>
      <c r="I54" s="37">
        <f t="shared" si="6"/>
        <v>85</v>
      </c>
      <c r="K54" s="32">
        <v>3</v>
      </c>
    </row>
    <row r="55" spans="1:11" ht="13.15" x14ac:dyDescent="0.4">
      <c r="A55" s="5" t="s">
        <v>143</v>
      </c>
      <c r="B55" s="36">
        <v>100</v>
      </c>
      <c r="C55" s="36">
        <v>100</v>
      </c>
      <c r="D55" s="36">
        <v>100</v>
      </c>
      <c r="E55" s="36">
        <v>50</v>
      </c>
      <c r="F55" s="36">
        <v>50</v>
      </c>
      <c r="G55" s="36">
        <v>100</v>
      </c>
      <c r="H55" s="36">
        <v>100</v>
      </c>
      <c r="I55" s="37">
        <f t="shared" si="6"/>
        <v>85</v>
      </c>
      <c r="K55" s="32">
        <v>3</v>
      </c>
    </row>
    <row r="56" spans="1:11" ht="13.15" x14ac:dyDescent="0.4">
      <c r="A56" s="5" t="s">
        <v>97</v>
      </c>
      <c r="B56" s="36">
        <v>100</v>
      </c>
      <c r="C56" s="36">
        <v>100</v>
      </c>
      <c r="D56" s="36">
        <v>100</v>
      </c>
      <c r="E56" s="36">
        <v>100</v>
      </c>
      <c r="F56" s="36">
        <v>100</v>
      </c>
      <c r="G56" s="36">
        <v>100</v>
      </c>
      <c r="H56" s="36">
        <v>100</v>
      </c>
      <c r="I56" s="37">
        <f t="shared" si="6"/>
        <v>100</v>
      </c>
      <c r="K56" s="32">
        <v>1</v>
      </c>
    </row>
    <row r="57" spans="1:11" ht="13.15" x14ac:dyDescent="0.4">
      <c r="A57" s="5" t="s">
        <v>98</v>
      </c>
      <c r="B57" s="36">
        <v>100</v>
      </c>
      <c r="C57" s="36">
        <v>100</v>
      </c>
      <c r="D57" s="36">
        <v>100</v>
      </c>
      <c r="E57" s="36">
        <v>100</v>
      </c>
      <c r="F57" s="36">
        <v>90</v>
      </c>
      <c r="G57" s="36">
        <v>100</v>
      </c>
      <c r="H57" s="36">
        <v>100</v>
      </c>
      <c r="I57" s="37">
        <f t="shared" si="6"/>
        <v>98</v>
      </c>
      <c r="K57" s="32">
        <v>5</v>
      </c>
    </row>
    <row r="58" spans="1:11" ht="13.15" x14ac:dyDescent="0.4">
      <c r="A58" s="5" t="s">
        <v>144</v>
      </c>
      <c r="B58" s="36">
        <v>100</v>
      </c>
      <c r="C58" s="36">
        <v>100</v>
      </c>
      <c r="D58" s="36">
        <v>100</v>
      </c>
      <c r="E58" s="36">
        <v>100</v>
      </c>
      <c r="F58" s="36">
        <v>95</v>
      </c>
      <c r="G58" s="36">
        <v>100</v>
      </c>
      <c r="H58" s="36">
        <v>100</v>
      </c>
      <c r="I58" s="37">
        <f t="shared" si="6"/>
        <v>99</v>
      </c>
      <c r="K58" s="32">
        <v>4</v>
      </c>
    </row>
    <row r="59" spans="1:11" ht="13.15" x14ac:dyDescent="0.4">
      <c r="A59" s="5" t="s">
        <v>99</v>
      </c>
      <c r="B59" s="36">
        <v>100</v>
      </c>
      <c r="C59" s="36">
        <v>100</v>
      </c>
      <c r="D59" s="36">
        <v>100</v>
      </c>
      <c r="E59" s="36">
        <v>100</v>
      </c>
      <c r="F59" s="36">
        <v>100</v>
      </c>
      <c r="G59" s="36">
        <v>100</v>
      </c>
      <c r="H59" s="36">
        <v>100</v>
      </c>
      <c r="I59" s="37">
        <f t="shared" si="6"/>
        <v>100</v>
      </c>
      <c r="K59" s="32">
        <v>7</v>
      </c>
    </row>
    <row r="60" spans="1:11" ht="13.15" x14ac:dyDescent="0.4">
      <c r="A60" s="5" t="s">
        <v>100</v>
      </c>
      <c r="B60" s="36">
        <v>100</v>
      </c>
      <c r="C60" s="36">
        <v>100</v>
      </c>
      <c r="D60" s="36">
        <v>100</v>
      </c>
      <c r="E60" s="36">
        <v>100</v>
      </c>
      <c r="F60" s="36">
        <v>100</v>
      </c>
      <c r="G60" s="36">
        <v>100</v>
      </c>
      <c r="H60" s="36">
        <v>100</v>
      </c>
      <c r="I60" s="37">
        <f t="shared" si="6"/>
        <v>100</v>
      </c>
      <c r="K60" s="32">
        <v>6</v>
      </c>
    </row>
    <row r="62" spans="1:11" x14ac:dyDescent="0.35">
      <c r="A62" s="72" t="s">
        <v>127</v>
      </c>
      <c r="B62" s="72"/>
      <c r="C62" s="72"/>
      <c r="D62" s="72"/>
      <c r="E62" s="72"/>
      <c r="F62" s="72"/>
      <c r="G62" s="72"/>
      <c r="H62" s="72"/>
      <c r="I62" s="72"/>
    </row>
    <row r="63" spans="1:11" x14ac:dyDescent="0.35">
      <c r="A63" s="33"/>
      <c r="B63" s="34">
        <v>1</v>
      </c>
      <c r="C63" s="34">
        <v>2</v>
      </c>
      <c r="D63" s="34">
        <v>3</v>
      </c>
      <c r="E63" s="35">
        <v>4</v>
      </c>
      <c r="F63" s="34">
        <v>5</v>
      </c>
      <c r="G63" s="34">
        <v>6</v>
      </c>
      <c r="H63" s="35">
        <v>7</v>
      </c>
      <c r="I63" s="35" t="s">
        <v>18</v>
      </c>
      <c r="J63"/>
    </row>
    <row r="64" spans="1:11" ht="13.15" x14ac:dyDescent="0.4">
      <c r="A64" s="5" t="s">
        <v>81</v>
      </c>
      <c r="B64" s="36">
        <v>100</v>
      </c>
      <c r="C64" s="36">
        <v>100</v>
      </c>
      <c r="D64" s="36">
        <v>100</v>
      </c>
      <c r="E64" s="36">
        <v>100</v>
      </c>
      <c r="F64" s="36">
        <v>100</v>
      </c>
      <c r="G64" s="36">
        <v>100</v>
      </c>
      <c r="H64" s="36">
        <v>100</v>
      </c>
      <c r="I64" s="37">
        <f>B64*0.1+C64*0.1+D64*0.1+E64*0.1+F64*0.2+G64*0.2+H64*0.2</f>
        <v>100</v>
      </c>
      <c r="J64"/>
      <c r="K64" s="32">
        <v>5</v>
      </c>
    </row>
    <row r="65" spans="1:11" ht="13.15" x14ac:dyDescent="0.4">
      <c r="A65" s="5" t="s">
        <v>82</v>
      </c>
      <c r="B65" s="36">
        <v>100</v>
      </c>
      <c r="C65" s="36">
        <v>100</v>
      </c>
      <c r="D65" s="36">
        <v>100</v>
      </c>
      <c r="E65" s="36">
        <v>100</v>
      </c>
      <c r="F65" s="36">
        <v>100</v>
      </c>
      <c r="G65" s="36">
        <v>100</v>
      </c>
      <c r="H65" s="36">
        <v>100</v>
      </c>
      <c r="I65" s="37">
        <f t="shared" ref="I65:I66" si="7">B65*0.1+C65*0.1+D65*0.1+E65*0.1+F65*0.2+G65*0.2+H65*0.2</f>
        <v>100</v>
      </c>
      <c r="J65"/>
      <c r="K65" s="32">
        <v>6</v>
      </c>
    </row>
    <row r="66" spans="1:11" ht="13.15" x14ac:dyDescent="0.4">
      <c r="A66" s="5" t="s">
        <v>83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7">
        <f t="shared" si="7"/>
        <v>0</v>
      </c>
      <c r="J66"/>
      <c r="K66" s="32">
        <v>5</v>
      </c>
    </row>
    <row r="67" spans="1:11" ht="13.15" x14ac:dyDescent="0.4">
      <c r="A67" s="5" t="s">
        <v>84</v>
      </c>
      <c r="B67" s="36">
        <v>100</v>
      </c>
      <c r="C67" s="36">
        <v>100</v>
      </c>
      <c r="D67" s="36">
        <v>100</v>
      </c>
      <c r="E67" s="36">
        <v>100</v>
      </c>
      <c r="F67" s="36">
        <v>95</v>
      </c>
      <c r="G67" s="36">
        <v>100</v>
      </c>
      <c r="H67" s="36">
        <v>100</v>
      </c>
      <c r="I67" s="37">
        <f t="shared" ref="I67:I90" si="8">B67*0.1+C67*0.1+D67*0.1+E67*0.1+F67*0.2+G67*0.2+H67*0.2</f>
        <v>99</v>
      </c>
      <c r="J67"/>
      <c r="K67" s="32">
        <v>2</v>
      </c>
    </row>
    <row r="68" spans="1:11" ht="13.15" x14ac:dyDescent="0.4">
      <c r="A68" s="5" t="s">
        <v>138</v>
      </c>
      <c r="B68" s="36">
        <v>50</v>
      </c>
      <c r="C68" s="36">
        <v>50</v>
      </c>
      <c r="D68" s="36">
        <v>50</v>
      </c>
      <c r="E68" s="36">
        <v>50</v>
      </c>
      <c r="F68" s="36">
        <v>50</v>
      </c>
      <c r="G68" s="36">
        <v>50</v>
      </c>
      <c r="H68" s="36">
        <v>50</v>
      </c>
      <c r="I68" s="37">
        <f t="shared" si="8"/>
        <v>50</v>
      </c>
      <c r="J68"/>
      <c r="K68" s="32">
        <v>3</v>
      </c>
    </row>
    <row r="69" spans="1:11" ht="13.15" x14ac:dyDescent="0.4">
      <c r="A69" s="5" t="s">
        <v>85</v>
      </c>
      <c r="B69" s="36">
        <v>100</v>
      </c>
      <c r="C69" s="36">
        <v>100</v>
      </c>
      <c r="D69" s="36">
        <v>100</v>
      </c>
      <c r="E69" s="36">
        <v>100</v>
      </c>
      <c r="F69" s="36">
        <v>100</v>
      </c>
      <c r="G69" s="36">
        <v>100</v>
      </c>
      <c r="H69" s="36">
        <v>100</v>
      </c>
      <c r="I69" s="37">
        <f t="shared" si="8"/>
        <v>100</v>
      </c>
      <c r="J69"/>
      <c r="K69" s="32">
        <v>5</v>
      </c>
    </row>
    <row r="70" spans="1:11" ht="13.15" x14ac:dyDescent="0.4">
      <c r="A70" s="5" t="s">
        <v>86</v>
      </c>
      <c r="B70" s="36">
        <v>100</v>
      </c>
      <c r="C70" s="36">
        <v>100</v>
      </c>
      <c r="D70" s="36">
        <v>100</v>
      </c>
      <c r="E70" s="36">
        <v>100</v>
      </c>
      <c r="F70" s="36">
        <v>100</v>
      </c>
      <c r="G70" s="36">
        <v>100</v>
      </c>
      <c r="H70" s="36">
        <v>100</v>
      </c>
      <c r="I70" s="37">
        <f t="shared" si="8"/>
        <v>100</v>
      </c>
      <c r="J70"/>
      <c r="K70" s="32">
        <v>1</v>
      </c>
    </row>
    <row r="71" spans="1:11" ht="13.15" x14ac:dyDescent="0.4">
      <c r="A71" s="5" t="s">
        <v>87</v>
      </c>
      <c r="B71" s="36">
        <v>100</v>
      </c>
      <c r="C71" s="36">
        <v>100</v>
      </c>
      <c r="D71" s="36">
        <v>100</v>
      </c>
      <c r="E71" s="36">
        <v>100</v>
      </c>
      <c r="F71" s="36">
        <v>100</v>
      </c>
      <c r="G71" s="36">
        <v>100</v>
      </c>
      <c r="H71" s="36">
        <v>100</v>
      </c>
      <c r="I71" s="37">
        <f t="shared" si="8"/>
        <v>100</v>
      </c>
      <c r="J71"/>
      <c r="K71" s="32">
        <v>7</v>
      </c>
    </row>
    <row r="72" spans="1:11" ht="13.15" x14ac:dyDescent="0.4">
      <c r="A72" s="5" t="s">
        <v>88</v>
      </c>
      <c r="B72" s="36">
        <v>100</v>
      </c>
      <c r="C72" s="36">
        <v>100</v>
      </c>
      <c r="D72" s="36">
        <v>100</v>
      </c>
      <c r="E72" s="36">
        <v>100</v>
      </c>
      <c r="F72" s="36">
        <v>100</v>
      </c>
      <c r="G72" s="36">
        <v>100</v>
      </c>
      <c r="H72" s="36">
        <v>100</v>
      </c>
      <c r="I72" s="37">
        <f t="shared" si="8"/>
        <v>100</v>
      </c>
      <c r="J72"/>
      <c r="K72" s="32">
        <v>1</v>
      </c>
    </row>
    <row r="73" spans="1:11" ht="13.15" x14ac:dyDescent="0.4">
      <c r="A73" s="5" t="s">
        <v>139</v>
      </c>
      <c r="B73" s="36">
        <v>100</v>
      </c>
      <c r="C73" s="36">
        <v>100</v>
      </c>
      <c r="D73" s="36">
        <v>100</v>
      </c>
      <c r="E73" s="36">
        <v>100</v>
      </c>
      <c r="F73" s="36">
        <v>100</v>
      </c>
      <c r="G73" s="36">
        <v>100</v>
      </c>
      <c r="H73" s="36">
        <v>100</v>
      </c>
      <c r="I73" s="37">
        <f t="shared" si="8"/>
        <v>100</v>
      </c>
      <c r="J73"/>
      <c r="K73" s="32">
        <v>4</v>
      </c>
    </row>
    <row r="74" spans="1:11" ht="13.15" x14ac:dyDescent="0.4">
      <c r="A74" s="5" t="s">
        <v>89</v>
      </c>
      <c r="B74" s="36">
        <v>100</v>
      </c>
      <c r="C74" s="36">
        <v>100</v>
      </c>
      <c r="D74" s="36">
        <v>100</v>
      </c>
      <c r="E74" s="36">
        <v>100</v>
      </c>
      <c r="F74" s="36">
        <v>100</v>
      </c>
      <c r="G74" s="36">
        <v>100</v>
      </c>
      <c r="H74" s="36">
        <v>100</v>
      </c>
      <c r="I74" s="37">
        <f t="shared" si="8"/>
        <v>100</v>
      </c>
      <c r="J74"/>
      <c r="K74" s="32">
        <v>6</v>
      </c>
    </row>
    <row r="75" spans="1:11" ht="13.15" x14ac:dyDescent="0.4">
      <c r="A75" s="5" t="s">
        <v>90</v>
      </c>
      <c r="B75" s="36">
        <v>100</v>
      </c>
      <c r="C75" s="36">
        <v>100</v>
      </c>
      <c r="D75" s="36">
        <v>100</v>
      </c>
      <c r="E75" s="36">
        <v>100</v>
      </c>
      <c r="F75" s="36">
        <v>100</v>
      </c>
      <c r="G75" s="36">
        <v>100</v>
      </c>
      <c r="H75" s="36">
        <v>100</v>
      </c>
      <c r="I75" s="37">
        <f t="shared" si="8"/>
        <v>100</v>
      </c>
      <c r="J75"/>
      <c r="K75" s="32">
        <v>4</v>
      </c>
    </row>
    <row r="76" spans="1:11" ht="13.15" x14ac:dyDescent="0.4">
      <c r="A76" s="5" t="s">
        <v>91</v>
      </c>
      <c r="B76" s="36">
        <v>100</v>
      </c>
      <c r="C76" s="36">
        <v>100</v>
      </c>
      <c r="D76" s="36">
        <v>100</v>
      </c>
      <c r="E76" s="36">
        <v>100</v>
      </c>
      <c r="F76" s="36">
        <v>100</v>
      </c>
      <c r="G76" s="36">
        <v>100</v>
      </c>
      <c r="H76" s="36">
        <v>100</v>
      </c>
      <c r="I76" s="37">
        <f t="shared" si="8"/>
        <v>100</v>
      </c>
      <c r="J76"/>
      <c r="K76" s="32">
        <v>6</v>
      </c>
    </row>
    <row r="77" spans="1:11" ht="13.15" x14ac:dyDescent="0.4">
      <c r="A77" s="5" t="s">
        <v>92</v>
      </c>
      <c r="B77" s="36">
        <v>100</v>
      </c>
      <c r="C77" s="36">
        <v>100</v>
      </c>
      <c r="D77" s="36">
        <v>100</v>
      </c>
      <c r="E77" s="36">
        <v>100</v>
      </c>
      <c r="F77" s="36">
        <v>100</v>
      </c>
      <c r="G77" s="36">
        <v>100</v>
      </c>
      <c r="H77" s="36">
        <v>100</v>
      </c>
      <c r="I77" s="37">
        <f t="shared" si="8"/>
        <v>100</v>
      </c>
      <c r="J77"/>
      <c r="K77" s="32">
        <v>7</v>
      </c>
    </row>
    <row r="78" spans="1:11" ht="13.15" x14ac:dyDescent="0.4">
      <c r="A78" s="5" t="s">
        <v>93</v>
      </c>
      <c r="B78" s="36">
        <v>100</v>
      </c>
      <c r="C78" s="36">
        <v>100</v>
      </c>
      <c r="D78" s="36">
        <v>100</v>
      </c>
      <c r="E78" s="36">
        <v>100</v>
      </c>
      <c r="F78" s="36">
        <v>100</v>
      </c>
      <c r="G78" s="36">
        <v>100</v>
      </c>
      <c r="H78" s="36">
        <v>100</v>
      </c>
      <c r="I78" s="37">
        <f t="shared" si="8"/>
        <v>100</v>
      </c>
      <c r="J78"/>
      <c r="K78" s="32">
        <v>1</v>
      </c>
    </row>
    <row r="79" spans="1:11" ht="13.15" x14ac:dyDescent="0.4">
      <c r="A79" s="5" t="s">
        <v>94</v>
      </c>
      <c r="B79" s="36">
        <v>100</v>
      </c>
      <c r="C79" s="36">
        <v>100</v>
      </c>
      <c r="D79" s="36">
        <v>100</v>
      </c>
      <c r="E79" s="36">
        <v>100</v>
      </c>
      <c r="F79" s="36">
        <v>95</v>
      </c>
      <c r="G79" s="36">
        <v>100</v>
      </c>
      <c r="H79" s="36">
        <v>100</v>
      </c>
      <c r="I79" s="37">
        <f t="shared" si="8"/>
        <v>99</v>
      </c>
      <c r="J79"/>
      <c r="K79" s="32">
        <v>2</v>
      </c>
    </row>
    <row r="80" spans="1:11" ht="13.15" x14ac:dyDescent="0.4">
      <c r="A80" s="5" t="s">
        <v>140</v>
      </c>
      <c r="B80" s="36">
        <v>100</v>
      </c>
      <c r="C80" s="36">
        <v>100</v>
      </c>
      <c r="D80" s="36">
        <v>100</v>
      </c>
      <c r="E80" s="36">
        <v>100</v>
      </c>
      <c r="F80" s="36">
        <v>100</v>
      </c>
      <c r="G80" s="36">
        <v>100</v>
      </c>
      <c r="H80" s="36">
        <v>100</v>
      </c>
      <c r="I80" s="37">
        <f t="shared" si="8"/>
        <v>100</v>
      </c>
      <c r="K80" s="32">
        <v>7</v>
      </c>
    </row>
    <row r="81" spans="1:11" ht="13.15" x14ac:dyDescent="0.4">
      <c r="A81" s="5" t="s">
        <v>95</v>
      </c>
      <c r="B81" s="36">
        <v>100</v>
      </c>
      <c r="C81" s="36">
        <v>100</v>
      </c>
      <c r="D81" s="36">
        <v>100</v>
      </c>
      <c r="E81" s="36">
        <v>100</v>
      </c>
      <c r="F81" s="36">
        <v>95</v>
      </c>
      <c r="G81" s="36">
        <v>100</v>
      </c>
      <c r="H81" s="36">
        <v>100</v>
      </c>
      <c r="I81" s="37">
        <f t="shared" si="8"/>
        <v>99</v>
      </c>
      <c r="K81" s="32">
        <v>2</v>
      </c>
    </row>
    <row r="82" spans="1:11" ht="13.15" x14ac:dyDescent="0.4">
      <c r="A82" s="5" t="s">
        <v>96</v>
      </c>
      <c r="B82" s="36">
        <v>100</v>
      </c>
      <c r="C82" s="36">
        <v>100</v>
      </c>
      <c r="D82" s="36">
        <v>100</v>
      </c>
      <c r="E82" s="36">
        <v>100</v>
      </c>
      <c r="F82" s="36">
        <v>95</v>
      </c>
      <c r="G82" s="36">
        <v>100</v>
      </c>
      <c r="H82" s="36">
        <v>100</v>
      </c>
      <c r="I82" s="37">
        <f t="shared" si="8"/>
        <v>99</v>
      </c>
      <c r="K82" s="32">
        <v>2</v>
      </c>
    </row>
    <row r="83" spans="1:11" ht="13.15" x14ac:dyDescent="0.4">
      <c r="A83" s="5" t="s">
        <v>141</v>
      </c>
      <c r="B83" s="36">
        <v>0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7">
        <f t="shared" si="8"/>
        <v>0</v>
      </c>
      <c r="K83" s="32"/>
    </row>
    <row r="84" spans="1:11" ht="13.15" x14ac:dyDescent="0.4">
      <c r="A84" s="5" t="s">
        <v>142</v>
      </c>
      <c r="B84" s="36">
        <v>50</v>
      </c>
      <c r="C84" s="36">
        <v>50</v>
      </c>
      <c r="D84" s="36">
        <v>50</v>
      </c>
      <c r="E84" s="36">
        <v>50</v>
      </c>
      <c r="F84" s="36">
        <v>50</v>
      </c>
      <c r="G84" s="36">
        <v>50</v>
      </c>
      <c r="H84" s="36">
        <v>50</v>
      </c>
      <c r="I84" s="37">
        <f t="shared" si="8"/>
        <v>50</v>
      </c>
      <c r="K84" s="32">
        <v>3</v>
      </c>
    </row>
    <row r="85" spans="1:11" ht="13.15" x14ac:dyDescent="0.4">
      <c r="A85" s="5" t="s">
        <v>143</v>
      </c>
      <c r="B85" s="36">
        <v>50</v>
      </c>
      <c r="C85" s="36">
        <v>50</v>
      </c>
      <c r="D85" s="36">
        <v>50</v>
      </c>
      <c r="E85" s="36">
        <v>50</v>
      </c>
      <c r="F85" s="36">
        <v>50</v>
      </c>
      <c r="G85" s="36">
        <v>50</v>
      </c>
      <c r="H85" s="36">
        <v>50</v>
      </c>
      <c r="I85" s="37">
        <f t="shared" si="8"/>
        <v>50</v>
      </c>
      <c r="K85" s="32">
        <v>3</v>
      </c>
    </row>
    <row r="86" spans="1:11" ht="13.15" x14ac:dyDescent="0.4">
      <c r="A86" s="5" t="s">
        <v>97</v>
      </c>
      <c r="B86" s="36">
        <v>100</v>
      </c>
      <c r="C86" s="36">
        <v>100</v>
      </c>
      <c r="D86" s="36">
        <v>100</v>
      </c>
      <c r="E86" s="36">
        <v>100</v>
      </c>
      <c r="F86" s="36">
        <v>100</v>
      </c>
      <c r="G86" s="36">
        <v>100</v>
      </c>
      <c r="H86" s="36">
        <v>100</v>
      </c>
      <c r="I86" s="37">
        <f t="shared" si="8"/>
        <v>100</v>
      </c>
      <c r="K86" s="32">
        <v>1</v>
      </c>
    </row>
    <row r="87" spans="1:11" ht="13.15" x14ac:dyDescent="0.4">
      <c r="A87" s="5" t="s">
        <v>98</v>
      </c>
      <c r="B87" s="36">
        <v>100</v>
      </c>
      <c r="C87" s="36">
        <v>100</v>
      </c>
      <c r="D87" s="36">
        <v>100</v>
      </c>
      <c r="E87" s="36">
        <v>100</v>
      </c>
      <c r="F87" s="36">
        <v>100</v>
      </c>
      <c r="G87" s="36">
        <v>100</v>
      </c>
      <c r="H87" s="36">
        <v>100</v>
      </c>
      <c r="I87" s="37">
        <f t="shared" si="8"/>
        <v>100</v>
      </c>
      <c r="K87" s="32">
        <v>5</v>
      </c>
    </row>
    <row r="88" spans="1:11" ht="13.15" x14ac:dyDescent="0.4">
      <c r="A88" s="5" t="s">
        <v>144</v>
      </c>
      <c r="B88" s="36">
        <v>100</v>
      </c>
      <c r="C88" s="36">
        <v>100</v>
      </c>
      <c r="D88" s="36">
        <v>100</v>
      </c>
      <c r="E88" s="36">
        <v>100</v>
      </c>
      <c r="F88" s="36">
        <v>100</v>
      </c>
      <c r="G88" s="36">
        <v>100</v>
      </c>
      <c r="H88" s="36">
        <v>100</v>
      </c>
      <c r="I88" s="37">
        <f t="shared" si="8"/>
        <v>100</v>
      </c>
      <c r="K88" s="32">
        <v>4</v>
      </c>
    </row>
    <row r="89" spans="1:11" ht="13.15" x14ac:dyDescent="0.4">
      <c r="A89" s="5" t="s">
        <v>99</v>
      </c>
      <c r="B89" s="36">
        <v>100</v>
      </c>
      <c r="C89" s="36">
        <v>100</v>
      </c>
      <c r="D89" s="36">
        <v>100</v>
      </c>
      <c r="E89" s="36">
        <v>100</v>
      </c>
      <c r="F89" s="36">
        <v>100</v>
      </c>
      <c r="G89" s="36">
        <v>100</v>
      </c>
      <c r="H89" s="36">
        <v>100</v>
      </c>
      <c r="I89" s="37">
        <f t="shared" si="8"/>
        <v>100</v>
      </c>
      <c r="K89" s="32">
        <v>7</v>
      </c>
    </row>
    <row r="90" spans="1:11" ht="13.15" x14ac:dyDescent="0.4">
      <c r="A90" s="5" t="s">
        <v>100</v>
      </c>
      <c r="B90" s="36">
        <v>100</v>
      </c>
      <c r="C90" s="36">
        <v>100</v>
      </c>
      <c r="D90" s="36">
        <v>100</v>
      </c>
      <c r="E90" s="36">
        <v>100</v>
      </c>
      <c r="F90" s="36">
        <v>100</v>
      </c>
      <c r="G90" s="36">
        <v>100</v>
      </c>
      <c r="H90" s="36">
        <v>100</v>
      </c>
      <c r="I90" s="37">
        <f t="shared" si="8"/>
        <v>100</v>
      </c>
      <c r="K90" s="32">
        <v>6</v>
      </c>
    </row>
    <row r="92" spans="1:11" x14ac:dyDescent="0.35">
      <c r="A92" s="72" t="s">
        <v>118</v>
      </c>
      <c r="B92" s="72"/>
      <c r="C92" s="72"/>
      <c r="D92" s="72"/>
      <c r="E92" s="72"/>
      <c r="F92" s="72"/>
      <c r="G92" s="72"/>
      <c r="H92" s="72"/>
      <c r="I92" s="72"/>
    </row>
    <row r="93" spans="1:11" x14ac:dyDescent="0.35">
      <c r="A93" s="33"/>
      <c r="B93" s="34">
        <v>1</v>
      </c>
      <c r="C93" s="34">
        <v>2</v>
      </c>
      <c r="D93" s="34">
        <v>3</v>
      </c>
      <c r="E93" s="35">
        <v>4</v>
      </c>
      <c r="F93" s="34">
        <v>5</v>
      </c>
      <c r="G93" s="34">
        <v>6</v>
      </c>
      <c r="H93" s="35">
        <v>7</v>
      </c>
      <c r="I93" s="35" t="s">
        <v>18</v>
      </c>
      <c r="J93"/>
    </row>
    <row r="94" spans="1:11" ht="13.15" x14ac:dyDescent="0.4">
      <c r="A94" s="5" t="s">
        <v>81</v>
      </c>
      <c r="B94" s="36">
        <v>100</v>
      </c>
      <c r="C94" s="36">
        <v>100</v>
      </c>
      <c r="D94" s="36">
        <v>100</v>
      </c>
      <c r="E94" s="36">
        <v>100</v>
      </c>
      <c r="F94" s="36">
        <v>100</v>
      </c>
      <c r="G94" s="36">
        <v>100</v>
      </c>
      <c r="H94" s="36">
        <v>100</v>
      </c>
      <c r="I94" s="37">
        <f>B94*0.1+C94*0.1+D94*0.1+E94*0.1+F94*0.2+G94*0.2+H94*0.2</f>
        <v>100</v>
      </c>
      <c r="J94"/>
      <c r="K94" s="32">
        <v>5</v>
      </c>
    </row>
    <row r="95" spans="1:11" ht="13.15" x14ac:dyDescent="0.4">
      <c r="A95" s="5" t="s">
        <v>82</v>
      </c>
      <c r="B95" s="36">
        <v>100</v>
      </c>
      <c r="C95" s="36">
        <v>100</v>
      </c>
      <c r="D95" s="36">
        <v>100</v>
      </c>
      <c r="E95" s="36">
        <v>100</v>
      </c>
      <c r="F95" s="36">
        <v>100</v>
      </c>
      <c r="G95" s="36">
        <v>100</v>
      </c>
      <c r="H95" s="36">
        <v>100</v>
      </c>
      <c r="I95" s="37">
        <f t="shared" ref="I95:I96" si="9">B95*0.1+C95*0.1+D95*0.1+E95*0.1+F95*0.2+G95*0.2+H95*0.2</f>
        <v>100</v>
      </c>
      <c r="J95"/>
      <c r="K95" s="32">
        <v>6</v>
      </c>
    </row>
    <row r="96" spans="1:11" ht="13.15" x14ac:dyDescent="0.4">
      <c r="A96" s="5" t="s">
        <v>83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7">
        <f t="shared" si="9"/>
        <v>0</v>
      </c>
      <c r="J96"/>
      <c r="K96" s="32">
        <v>5</v>
      </c>
    </row>
    <row r="97" spans="1:11" ht="13.15" x14ac:dyDescent="0.4">
      <c r="A97" s="5" t="s">
        <v>84</v>
      </c>
      <c r="B97" s="36">
        <v>100</v>
      </c>
      <c r="C97" s="36">
        <v>100</v>
      </c>
      <c r="D97" s="36">
        <v>100</v>
      </c>
      <c r="E97" s="36">
        <v>90</v>
      </c>
      <c r="F97" s="36">
        <v>90</v>
      </c>
      <c r="G97" s="36">
        <v>100</v>
      </c>
      <c r="H97" s="36">
        <v>100</v>
      </c>
      <c r="I97" s="37">
        <f t="shared" ref="I97:I120" si="10">B97*0.1+C97*0.1+D97*0.1+E97*0.1+F97*0.2+G97*0.2+H97*0.2</f>
        <v>97</v>
      </c>
      <c r="J97"/>
      <c r="K97" s="32">
        <v>2</v>
      </c>
    </row>
    <row r="98" spans="1:11" ht="13.15" x14ac:dyDescent="0.4">
      <c r="A98" s="5" t="s">
        <v>138</v>
      </c>
      <c r="B98" s="36">
        <v>100</v>
      </c>
      <c r="C98" s="36">
        <v>100</v>
      </c>
      <c r="D98" s="36">
        <v>100</v>
      </c>
      <c r="E98" s="36">
        <v>90</v>
      </c>
      <c r="F98" s="36">
        <v>90</v>
      </c>
      <c r="G98" s="36">
        <v>100</v>
      </c>
      <c r="H98" s="36">
        <v>100</v>
      </c>
      <c r="I98" s="37">
        <f t="shared" si="10"/>
        <v>97</v>
      </c>
      <c r="J98"/>
      <c r="K98" s="32">
        <v>3</v>
      </c>
    </row>
    <row r="99" spans="1:11" ht="13.15" x14ac:dyDescent="0.4">
      <c r="A99" s="5" t="s">
        <v>85</v>
      </c>
      <c r="B99" s="36">
        <v>100</v>
      </c>
      <c r="C99" s="36">
        <v>100</v>
      </c>
      <c r="D99" s="36">
        <v>100</v>
      </c>
      <c r="E99" s="36">
        <v>100</v>
      </c>
      <c r="F99" s="36">
        <v>100</v>
      </c>
      <c r="G99" s="36">
        <v>100</v>
      </c>
      <c r="H99" s="36">
        <v>100</v>
      </c>
      <c r="I99" s="37">
        <f t="shared" si="10"/>
        <v>100</v>
      </c>
      <c r="J99"/>
      <c r="K99" s="32">
        <v>5</v>
      </c>
    </row>
    <row r="100" spans="1:11" ht="13.15" x14ac:dyDescent="0.4">
      <c r="A100" s="5" t="s">
        <v>86</v>
      </c>
      <c r="B100" s="36">
        <v>100</v>
      </c>
      <c r="C100" s="36">
        <v>100</v>
      </c>
      <c r="D100" s="36">
        <v>100</v>
      </c>
      <c r="E100" s="36">
        <v>90</v>
      </c>
      <c r="F100" s="36">
        <v>90</v>
      </c>
      <c r="G100" s="36">
        <v>100</v>
      </c>
      <c r="H100" s="36">
        <v>100</v>
      </c>
      <c r="I100" s="37">
        <f t="shared" si="10"/>
        <v>97</v>
      </c>
      <c r="J100"/>
      <c r="K100" s="32">
        <v>1</v>
      </c>
    </row>
    <row r="101" spans="1:11" ht="13.15" x14ac:dyDescent="0.4">
      <c r="A101" s="5" t="s">
        <v>87</v>
      </c>
      <c r="B101" s="36">
        <v>100</v>
      </c>
      <c r="C101" s="36">
        <v>100</v>
      </c>
      <c r="D101" s="36">
        <v>100</v>
      </c>
      <c r="E101" s="36">
        <v>100</v>
      </c>
      <c r="F101" s="36">
        <v>100</v>
      </c>
      <c r="G101" s="36">
        <v>100</v>
      </c>
      <c r="H101" s="36">
        <v>100</v>
      </c>
      <c r="I101" s="37">
        <f t="shared" si="10"/>
        <v>100</v>
      </c>
      <c r="J101"/>
      <c r="K101" s="32">
        <v>7</v>
      </c>
    </row>
    <row r="102" spans="1:11" ht="13.15" x14ac:dyDescent="0.4">
      <c r="A102" s="5" t="s">
        <v>88</v>
      </c>
      <c r="B102" s="36">
        <v>100</v>
      </c>
      <c r="C102" s="36">
        <v>100</v>
      </c>
      <c r="D102" s="36">
        <v>100</v>
      </c>
      <c r="E102" s="36">
        <v>90</v>
      </c>
      <c r="F102" s="36">
        <v>90</v>
      </c>
      <c r="G102" s="36">
        <v>100</v>
      </c>
      <c r="H102" s="36">
        <v>100</v>
      </c>
      <c r="I102" s="37">
        <f t="shared" si="10"/>
        <v>97</v>
      </c>
      <c r="J102"/>
      <c r="K102" s="32">
        <v>1</v>
      </c>
    </row>
    <row r="103" spans="1:11" ht="13.15" x14ac:dyDescent="0.4">
      <c r="A103" s="5" t="s">
        <v>139</v>
      </c>
      <c r="B103" s="36">
        <v>100</v>
      </c>
      <c r="C103" s="36">
        <v>100</v>
      </c>
      <c r="D103" s="36">
        <v>100</v>
      </c>
      <c r="E103" s="36">
        <v>90</v>
      </c>
      <c r="F103" s="36">
        <v>90</v>
      </c>
      <c r="G103" s="36">
        <v>100</v>
      </c>
      <c r="H103" s="36">
        <v>100</v>
      </c>
      <c r="I103" s="37">
        <f t="shared" si="10"/>
        <v>97</v>
      </c>
      <c r="J103"/>
      <c r="K103" s="32">
        <v>4</v>
      </c>
    </row>
    <row r="104" spans="1:11" ht="13.15" x14ac:dyDescent="0.4">
      <c r="A104" s="5" t="s">
        <v>89</v>
      </c>
      <c r="B104" s="36">
        <v>100</v>
      </c>
      <c r="C104" s="36">
        <v>100</v>
      </c>
      <c r="D104" s="36">
        <v>100</v>
      </c>
      <c r="E104" s="36">
        <v>100</v>
      </c>
      <c r="F104" s="36">
        <v>100</v>
      </c>
      <c r="G104" s="36">
        <v>100</v>
      </c>
      <c r="H104" s="36">
        <v>100</v>
      </c>
      <c r="I104" s="37">
        <f t="shared" si="10"/>
        <v>100</v>
      </c>
      <c r="J104"/>
      <c r="K104" s="32">
        <v>6</v>
      </c>
    </row>
    <row r="105" spans="1:11" ht="13.15" x14ac:dyDescent="0.4">
      <c r="A105" s="5" t="s">
        <v>90</v>
      </c>
      <c r="B105" s="36">
        <v>100</v>
      </c>
      <c r="C105" s="36">
        <v>100</v>
      </c>
      <c r="D105" s="36">
        <v>100</v>
      </c>
      <c r="E105" s="36">
        <v>100</v>
      </c>
      <c r="F105" s="36">
        <v>90</v>
      </c>
      <c r="G105" s="36">
        <v>90</v>
      </c>
      <c r="H105" s="36">
        <v>100</v>
      </c>
      <c r="I105" s="37">
        <f t="shared" si="10"/>
        <v>96</v>
      </c>
      <c r="J105"/>
      <c r="K105" s="32">
        <v>4</v>
      </c>
    </row>
    <row r="106" spans="1:11" ht="13.15" x14ac:dyDescent="0.4">
      <c r="A106" s="5" t="s">
        <v>91</v>
      </c>
      <c r="B106" s="36">
        <v>100</v>
      </c>
      <c r="C106" s="36">
        <v>100</v>
      </c>
      <c r="D106" s="36">
        <v>100</v>
      </c>
      <c r="E106" s="36">
        <v>100</v>
      </c>
      <c r="F106" s="36">
        <v>100</v>
      </c>
      <c r="G106" s="36">
        <v>100</v>
      </c>
      <c r="H106" s="36">
        <v>100</v>
      </c>
      <c r="I106" s="37">
        <f t="shared" si="10"/>
        <v>100</v>
      </c>
      <c r="J106"/>
      <c r="K106" s="32">
        <v>6</v>
      </c>
    </row>
    <row r="107" spans="1:11" ht="13.15" x14ac:dyDescent="0.4">
      <c r="A107" s="5" t="s">
        <v>92</v>
      </c>
      <c r="B107" s="36">
        <v>100</v>
      </c>
      <c r="C107" s="36">
        <v>100</v>
      </c>
      <c r="D107" s="36">
        <v>100</v>
      </c>
      <c r="E107" s="36">
        <v>100</v>
      </c>
      <c r="F107" s="36">
        <v>100</v>
      </c>
      <c r="G107" s="36">
        <v>100</v>
      </c>
      <c r="H107" s="36">
        <v>100</v>
      </c>
      <c r="I107" s="37">
        <f t="shared" si="10"/>
        <v>100</v>
      </c>
      <c r="J107"/>
      <c r="K107" s="32">
        <v>7</v>
      </c>
    </row>
    <row r="108" spans="1:11" ht="13.15" x14ac:dyDescent="0.4">
      <c r="A108" s="5" t="s">
        <v>93</v>
      </c>
      <c r="B108" s="36">
        <v>100</v>
      </c>
      <c r="C108" s="36">
        <v>100</v>
      </c>
      <c r="D108" s="36">
        <v>100</v>
      </c>
      <c r="E108" s="36">
        <v>90</v>
      </c>
      <c r="F108" s="36">
        <v>90</v>
      </c>
      <c r="G108" s="36">
        <v>100</v>
      </c>
      <c r="H108" s="36">
        <v>100</v>
      </c>
      <c r="I108" s="37">
        <f t="shared" si="10"/>
        <v>97</v>
      </c>
      <c r="J108"/>
      <c r="K108" s="32">
        <v>1</v>
      </c>
    </row>
    <row r="109" spans="1:11" ht="13.15" x14ac:dyDescent="0.4">
      <c r="A109" s="5" t="s">
        <v>94</v>
      </c>
      <c r="B109" s="36">
        <v>100</v>
      </c>
      <c r="C109" s="36">
        <v>100</v>
      </c>
      <c r="D109" s="36">
        <v>100</v>
      </c>
      <c r="E109" s="36">
        <v>90</v>
      </c>
      <c r="F109" s="36">
        <v>90</v>
      </c>
      <c r="G109" s="36">
        <v>100</v>
      </c>
      <c r="H109" s="36">
        <v>100</v>
      </c>
      <c r="I109" s="37">
        <f t="shared" si="10"/>
        <v>97</v>
      </c>
      <c r="J109"/>
      <c r="K109" s="32">
        <v>2</v>
      </c>
    </row>
    <row r="110" spans="1:11" ht="13.15" x14ac:dyDescent="0.4">
      <c r="A110" s="5" t="s">
        <v>140</v>
      </c>
      <c r="B110" s="36">
        <v>100</v>
      </c>
      <c r="C110" s="36">
        <v>100</v>
      </c>
      <c r="D110" s="36">
        <v>100</v>
      </c>
      <c r="E110" s="36">
        <v>100</v>
      </c>
      <c r="F110" s="36">
        <v>100</v>
      </c>
      <c r="G110" s="36">
        <v>100</v>
      </c>
      <c r="H110" s="36">
        <v>100</v>
      </c>
      <c r="I110" s="37">
        <f t="shared" si="10"/>
        <v>100</v>
      </c>
      <c r="K110" s="32">
        <v>7</v>
      </c>
    </row>
    <row r="111" spans="1:11" ht="13.15" x14ac:dyDescent="0.4">
      <c r="A111" s="5" t="s">
        <v>95</v>
      </c>
      <c r="B111" s="36">
        <v>100</v>
      </c>
      <c r="C111" s="36">
        <v>100</v>
      </c>
      <c r="D111" s="36">
        <v>100</v>
      </c>
      <c r="E111" s="36">
        <v>90</v>
      </c>
      <c r="F111" s="36">
        <v>90</v>
      </c>
      <c r="G111" s="36">
        <v>100</v>
      </c>
      <c r="H111" s="36">
        <v>100</v>
      </c>
      <c r="I111" s="37">
        <f t="shared" si="10"/>
        <v>97</v>
      </c>
      <c r="K111" s="32">
        <v>2</v>
      </c>
    </row>
    <row r="112" spans="1:11" ht="13.15" x14ac:dyDescent="0.4">
      <c r="A112" s="5" t="s">
        <v>96</v>
      </c>
      <c r="B112" s="36">
        <v>100</v>
      </c>
      <c r="C112" s="36">
        <v>100</v>
      </c>
      <c r="D112" s="36">
        <v>100</v>
      </c>
      <c r="E112" s="36">
        <v>90</v>
      </c>
      <c r="F112" s="36">
        <v>90</v>
      </c>
      <c r="G112" s="36">
        <v>100</v>
      </c>
      <c r="H112" s="36">
        <v>100</v>
      </c>
      <c r="I112" s="37">
        <f t="shared" si="10"/>
        <v>97</v>
      </c>
      <c r="K112" s="32">
        <v>2</v>
      </c>
    </row>
    <row r="113" spans="1:11" ht="13.15" x14ac:dyDescent="0.4">
      <c r="A113" s="5" t="s">
        <v>141</v>
      </c>
      <c r="B113" s="36">
        <v>0</v>
      </c>
      <c r="C113" s="36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7">
        <f t="shared" si="10"/>
        <v>0</v>
      </c>
      <c r="K113" s="32"/>
    </row>
    <row r="114" spans="1:11" ht="13.15" x14ac:dyDescent="0.4">
      <c r="A114" s="5" t="s">
        <v>142</v>
      </c>
      <c r="B114" s="36">
        <v>0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7">
        <f t="shared" si="10"/>
        <v>0</v>
      </c>
      <c r="K114" s="32">
        <v>3</v>
      </c>
    </row>
    <row r="115" spans="1:11" ht="13.15" x14ac:dyDescent="0.4">
      <c r="A115" s="5" t="s">
        <v>143</v>
      </c>
      <c r="B115" s="36">
        <v>0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7">
        <f t="shared" si="10"/>
        <v>0</v>
      </c>
      <c r="K115" s="32">
        <v>3</v>
      </c>
    </row>
    <row r="116" spans="1:11" ht="13.15" x14ac:dyDescent="0.4">
      <c r="A116" s="5" t="s">
        <v>97</v>
      </c>
      <c r="B116" s="36">
        <v>100</v>
      </c>
      <c r="C116" s="36">
        <v>100</v>
      </c>
      <c r="D116" s="36">
        <v>100</v>
      </c>
      <c r="E116" s="36">
        <v>90</v>
      </c>
      <c r="F116" s="36">
        <v>90</v>
      </c>
      <c r="G116" s="36">
        <v>100</v>
      </c>
      <c r="H116" s="36">
        <v>100</v>
      </c>
      <c r="I116" s="37">
        <f t="shared" si="10"/>
        <v>97</v>
      </c>
      <c r="K116" s="32">
        <v>1</v>
      </c>
    </row>
    <row r="117" spans="1:11" ht="13.15" x14ac:dyDescent="0.4">
      <c r="A117" s="5" t="s">
        <v>98</v>
      </c>
      <c r="B117" s="36">
        <v>100</v>
      </c>
      <c r="C117" s="36">
        <v>100</v>
      </c>
      <c r="D117" s="36">
        <v>100</v>
      </c>
      <c r="E117" s="36">
        <v>100</v>
      </c>
      <c r="F117" s="36">
        <v>100</v>
      </c>
      <c r="G117" s="36">
        <v>100</v>
      </c>
      <c r="H117" s="36">
        <v>100</v>
      </c>
      <c r="I117" s="37">
        <f t="shared" si="10"/>
        <v>100</v>
      </c>
      <c r="K117" s="32">
        <v>5</v>
      </c>
    </row>
    <row r="118" spans="1:11" ht="13.15" x14ac:dyDescent="0.4">
      <c r="A118" s="5" t="s">
        <v>144</v>
      </c>
      <c r="B118" s="36">
        <v>100</v>
      </c>
      <c r="C118" s="36">
        <v>100</v>
      </c>
      <c r="D118" s="36">
        <v>100</v>
      </c>
      <c r="E118" s="36">
        <v>90</v>
      </c>
      <c r="F118" s="36">
        <v>90</v>
      </c>
      <c r="G118" s="36">
        <v>100</v>
      </c>
      <c r="H118" s="36">
        <v>100</v>
      </c>
      <c r="I118" s="37">
        <f t="shared" si="10"/>
        <v>97</v>
      </c>
      <c r="K118" s="32">
        <v>4</v>
      </c>
    </row>
    <row r="119" spans="1:11" ht="13.15" x14ac:dyDescent="0.4">
      <c r="A119" s="5" t="s">
        <v>99</v>
      </c>
      <c r="B119" s="36">
        <v>100</v>
      </c>
      <c r="C119" s="36">
        <v>100</v>
      </c>
      <c r="D119" s="36">
        <v>100</v>
      </c>
      <c r="E119" s="36">
        <v>100</v>
      </c>
      <c r="F119" s="36">
        <v>100</v>
      </c>
      <c r="G119" s="36">
        <v>100</v>
      </c>
      <c r="H119" s="36">
        <v>100</v>
      </c>
      <c r="I119" s="37">
        <f t="shared" si="10"/>
        <v>100</v>
      </c>
      <c r="K119" s="32">
        <v>7</v>
      </c>
    </row>
    <row r="120" spans="1:11" ht="13.15" x14ac:dyDescent="0.4">
      <c r="A120" s="5" t="s">
        <v>100</v>
      </c>
      <c r="B120" s="36">
        <v>100</v>
      </c>
      <c r="C120" s="36">
        <v>100</v>
      </c>
      <c r="D120" s="36">
        <v>100</v>
      </c>
      <c r="E120" s="36">
        <v>100</v>
      </c>
      <c r="F120" s="36">
        <v>100</v>
      </c>
      <c r="G120" s="36">
        <v>100</v>
      </c>
      <c r="H120" s="36">
        <v>100</v>
      </c>
      <c r="I120" s="37">
        <f t="shared" si="10"/>
        <v>100</v>
      </c>
      <c r="K120" s="32">
        <v>6</v>
      </c>
    </row>
  </sheetData>
  <sheetProtection selectLockedCells="1" selectUnlockedCells="1"/>
  <mergeCells count="4">
    <mergeCell ref="A1:E1"/>
    <mergeCell ref="A32:I32"/>
    <mergeCell ref="A62:I62"/>
    <mergeCell ref="A92:I92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pane xSplit="1" ySplit="3" topLeftCell="B4" activePane="bottomRight" state="frozen"/>
      <selection pane="topRight" activeCell="C1" sqref="C1"/>
      <selection pane="bottomLeft" activeCell="A9" sqref="A9"/>
      <selection pane="bottomRight" activeCell="D7" sqref="D7"/>
    </sheetView>
  </sheetViews>
  <sheetFormatPr baseColWidth="10" defaultColWidth="11.3984375" defaultRowHeight="12.75" x14ac:dyDescent="0.35"/>
  <cols>
    <col min="1" max="1" width="7.73046875" style="11" customWidth="1"/>
    <col min="2" max="5" width="8.73046875" style="11" customWidth="1"/>
    <col min="6" max="6" width="15.73046875" style="11" customWidth="1"/>
    <col min="7" max="16384" width="11.3984375" style="11"/>
  </cols>
  <sheetData>
    <row r="1" spans="1:8" ht="15" x14ac:dyDescent="0.4">
      <c r="A1" s="73" t="s">
        <v>22</v>
      </c>
      <c r="B1" s="73"/>
      <c r="C1" s="73"/>
      <c r="D1" s="73"/>
      <c r="E1" s="73"/>
      <c r="F1" s="73"/>
    </row>
    <row r="2" spans="1:8" ht="13.15" x14ac:dyDescent="0.4">
      <c r="A2" s="12"/>
      <c r="B2" s="13"/>
      <c r="C2" s="13"/>
      <c r="D2" s="13"/>
      <c r="E2" s="13"/>
      <c r="F2" s="14"/>
    </row>
    <row r="3" spans="1:8" x14ac:dyDescent="0.35">
      <c r="A3" s="21" t="s">
        <v>2</v>
      </c>
      <c r="B3" s="21" t="s">
        <v>23</v>
      </c>
      <c r="C3" s="21" t="s">
        <v>24</v>
      </c>
      <c r="D3" s="21" t="s">
        <v>25</v>
      </c>
      <c r="E3" s="21" t="s">
        <v>26</v>
      </c>
      <c r="F3" s="21" t="s">
        <v>27</v>
      </c>
    </row>
    <row r="4" spans="1:8" ht="13.15" x14ac:dyDescent="0.4">
      <c r="A4" s="5" t="s">
        <v>81</v>
      </c>
      <c r="B4" s="22">
        <f>AprendizajeColaborativo_P1!M4</f>
        <v>98.971000000000004</v>
      </c>
      <c r="C4" s="22">
        <f>AprendizajeColaborativo_P2!M4</f>
        <v>99.65</v>
      </c>
      <c r="D4" s="22">
        <f>AprendizajeColaborativo_P3!M4</f>
        <v>94.85</v>
      </c>
      <c r="E4" s="22">
        <f>AprendizajeColaborativo_P4!M4</f>
        <v>99.55</v>
      </c>
      <c r="F4" s="16">
        <f t="shared" ref="F4:F5" si="0">AVERAGE(B4:E4)</f>
        <v>98.255250000000004</v>
      </c>
      <c r="H4" s="32">
        <v>5</v>
      </c>
    </row>
    <row r="5" spans="1:8" ht="13.15" x14ac:dyDescent="0.4">
      <c r="A5" s="5" t="s">
        <v>82</v>
      </c>
      <c r="B5" s="22">
        <f>AprendizajeColaborativo_P1!M5</f>
        <v>100</v>
      </c>
      <c r="C5" s="22">
        <f>AprendizajeColaborativo_P2!M5</f>
        <v>99.125</v>
      </c>
      <c r="D5" s="22">
        <f>AprendizajeColaborativo_P3!M5</f>
        <v>94.85</v>
      </c>
      <c r="E5" s="22">
        <f>AprendizajeColaborativo_P4!M5</f>
        <v>84.286000000000001</v>
      </c>
      <c r="F5" s="16">
        <f t="shared" si="0"/>
        <v>94.565250000000006</v>
      </c>
      <c r="H5" s="32">
        <v>6</v>
      </c>
    </row>
    <row r="6" spans="1:8" ht="13.15" x14ac:dyDescent="0.4">
      <c r="A6" s="5" t="s">
        <v>83</v>
      </c>
      <c r="B6" s="22">
        <f>AprendizajeColaborativo_P1!M6</f>
        <v>0</v>
      </c>
      <c r="C6" s="22">
        <f>AprendizajeColaborativo_P2!M6</f>
        <v>0</v>
      </c>
      <c r="D6" s="22">
        <f>AprendizajeColaborativo_P3!M6</f>
        <v>0</v>
      </c>
      <c r="E6" s="22">
        <f>AprendizajeColaborativo_P4!M6</f>
        <v>97.05</v>
      </c>
      <c r="F6" s="16">
        <f t="shared" ref="F6:F30" si="1">AVERAGE(B6:E6)</f>
        <v>24.262499999999999</v>
      </c>
      <c r="H6" s="32">
        <v>5</v>
      </c>
    </row>
    <row r="7" spans="1:8" ht="13.15" x14ac:dyDescent="0.4">
      <c r="A7" s="5" t="s">
        <v>84</v>
      </c>
      <c r="B7" s="22">
        <f>AprendizajeColaborativo_P1!M7</f>
        <v>98.263499999999993</v>
      </c>
      <c r="C7" s="22">
        <f>AprendizajeColaborativo_P2!M7</f>
        <v>97.55</v>
      </c>
      <c r="D7" s="22">
        <f>AprendizajeColaborativo_P3!M7</f>
        <v>95</v>
      </c>
      <c r="E7" s="22">
        <f>AprendizajeColaborativo_P4!M7</f>
        <v>98.65</v>
      </c>
      <c r="F7" s="16">
        <f t="shared" si="1"/>
        <v>97.365874999999988</v>
      </c>
      <c r="H7" s="32">
        <v>2</v>
      </c>
    </row>
    <row r="8" spans="1:8" ht="13.15" x14ac:dyDescent="0.4">
      <c r="A8" s="5" t="s">
        <v>138</v>
      </c>
      <c r="B8" s="22">
        <f>AprendizajeColaborativo_P1!M8</f>
        <v>12.405249999999999</v>
      </c>
      <c r="C8" s="22">
        <f>AprendizajeColaborativo_P2!M8</f>
        <v>2.5</v>
      </c>
      <c r="D8" s="22">
        <f>AprendizajeColaborativo_P3!M8</f>
        <v>70.650000000000006</v>
      </c>
      <c r="E8" s="22">
        <f>AprendizajeColaborativo_P4!M8</f>
        <v>2.5</v>
      </c>
      <c r="F8" s="16">
        <f t="shared" si="1"/>
        <v>22.0138125</v>
      </c>
      <c r="H8" s="32">
        <v>3</v>
      </c>
    </row>
    <row r="9" spans="1:8" ht="13.15" x14ac:dyDescent="0.4">
      <c r="A9" s="5" t="s">
        <v>85</v>
      </c>
      <c r="B9" s="22">
        <f>AprendizajeColaborativo_P1!M9</f>
        <v>98.971000000000004</v>
      </c>
      <c r="C9" s="22">
        <f>AprendizajeColaborativo_P2!M9</f>
        <v>99.65</v>
      </c>
      <c r="D9" s="22">
        <f>AprendizajeColaborativo_P3!M9</f>
        <v>94.85</v>
      </c>
      <c r="E9" s="22">
        <f>AprendizajeColaborativo_P4!M9</f>
        <v>99.55</v>
      </c>
      <c r="F9" s="16">
        <f t="shared" si="1"/>
        <v>98.255250000000004</v>
      </c>
      <c r="H9" s="32">
        <v>5</v>
      </c>
    </row>
    <row r="10" spans="1:8" ht="13.15" x14ac:dyDescent="0.4">
      <c r="A10" s="5" t="s">
        <v>86</v>
      </c>
      <c r="B10" s="22">
        <f>AprendizajeColaborativo_P1!M10</f>
        <v>98.628</v>
      </c>
      <c r="C10" s="22">
        <f>AprendizajeColaborativo_P2!M10</f>
        <v>99.474999999999994</v>
      </c>
      <c r="D10" s="22">
        <f>AprendizajeColaborativo_P3!M10</f>
        <v>93.8</v>
      </c>
      <c r="E10" s="22">
        <f>AprendizajeColaborativo_P4!M10</f>
        <v>98.95</v>
      </c>
      <c r="F10" s="16">
        <f t="shared" si="1"/>
        <v>97.713250000000002</v>
      </c>
      <c r="H10" s="32">
        <v>1</v>
      </c>
    </row>
    <row r="11" spans="1:8" ht="13.15" x14ac:dyDescent="0.4">
      <c r="A11" s="5" t="s">
        <v>87</v>
      </c>
      <c r="B11" s="22">
        <f>AprendizajeColaborativo_P1!M11</f>
        <v>95.523166666666668</v>
      </c>
      <c r="C11" s="22">
        <f>AprendizajeColaborativo_P2!M11</f>
        <v>97.9</v>
      </c>
      <c r="D11" s="22">
        <f>AprendizajeColaborativo_P3!M11</f>
        <v>92.9</v>
      </c>
      <c r="E11" s="22">
        <f>AprendizajeColaborativo_P4!M11</f>
        <v>98.05</v>
      </c>
      <c r="F11" s="16">
        <f t="shared" si="1"/>
        <v>96.093291666666673</v>
      </c>
      <c r="H11" s="32">
        <v>7</v>
      </c>
    </row>
    <row r="12" spans="1:8" ht="13.15" x14ac:dyDescent="0.4">
      <c r="A12" s="5" t="s">
        <v>88</v>
      </c>
      <c r="B12" s="22">
        <f>AprendizajeColaborativo_P1!M12</f>
        <v>97.794666666666672</v>
      </c>
      <c r="C12" s="22">
        <f>AprendizajeColaborativo_P2!M12</f>
        <v>99.058333333333337</v>
      </c>
      <c r="D12" s="22">
        <f>AprendizajeColaborativo_P3!M12</f>
        <v>93.8</v>
      </c>
      <c r="E12" s="22">
        <f>AprendizajeColaborativo_P4!M12</f>
        <v>98.95</v>
      </c>
      <c r="F12" s="16">
        <f t="shared" si="1"/>
        <v>97.400750000000002</v>
      </c>
      <c r="H12" s="32">
        <v>1</v>
      </c>
    </row>
    <row r="13" spans="1:8" ht="13.15" x14ac:dyDescent="0.4">
      <c r="A13" s="5" t="s">
        <v>139</v>
      </c>
      <c r="B13" s="22">
        <f>AprendizajeColaborativo_P1!M13</f>
        <v>100</v>
      </c>
      <c r="C13" s="22">
        <f>AprendizajeColaborativo_P2!M13</f>
        <v>98.95</v>
      </c>
      <c r="D13" s="22">
        <f>AprendizajeColaborativo_P3!M13</f>
        <v>95</v>
      </c>
      <c r="E13" s="22">
        <f>AprendizajeColaborativo_P4!M13</f>
        <v>98.95</v>
      </c>
      <c r="F13" s="16">
        <f t="shared" si="1"/>
        <v>98.224999999999994</v>
      </c>
      <c r="H13" s="32">
        <v>4</v>
      </c>
    </row>
    <row r="14" spans="1:8" ht="13.15" x14ac:dyDescent="0.4">
      <c r="A14" s="5" t="s">
        <v>89</v>
      </c>
      <c r="B14" s="22">
        <f>AprendizajeColaborativo_P1!M14</f>
        <v>100</v>
      </c>
      <c r="C14" s="22">
        <f>AprendizajeColaborativo_P2!M14</f>
        <v>99.125</v>
      </c>
      <c r="D14" s="22">
        <f>AprendizajeColaborativo_P3!M14</f>
        <v>94.85</v>
      </c>
      <c r="E14" s="22">
        <f>AprendizajeColaborativo_P4!M14</f>
        <v>84.286000000000001</v>
      </c>
      <c r="F14" s="16">
        <f t="shared" si="1"/>
        <v>94.565250000000006</v>
      </c>
      <c r="H14" s="32">
        <v>6</v>
      </c>
    </row>
    <row r="15" spans="1:8" ht="13.15" x14ac:dyDescent="0.4">
      <c r="A15" s="5" t="s">
        <v>90</v>
      </c>
      <c r="B15" s="22">
        <f>AprendizajeColaborativo_P1!M15</f>
        <v>100</v>
      </c>
      <c r="C15" s="22">
        <f>AprendizajeColaborativo_P2!M15</f>
        <v>98.95</v>
      </c>
      <c r="D15" s="22">
        <f>AprendizajeColaborativo_P3!M15</f>
        <v>95</v>
      </c>
      <c r="E15" s="22">
        <f>AprendizajeColaborativo_P4!M15</f>
        <v>98.95</v>
      </c>
      <c r="F15" s="16">
        <f t="shared" si="1"/>
        <v>98.224999999999994</v>
      </c>
      <c r="H15" s="32">
        <v>4</v>
      </c>
    </row>
    <row r="16" spans="1:8" ht="13.15" x14ac:dyDescent="0.4">
      <c r="A16" s="5" t="s">
        <v>91</v>
      </c>
      <c r="B16" s="22">
        <f>AprendizajeColaborativo_P1!M16</f>
        <v>100</v>
      </c>
      <c r="C16" s="22">
        <f>AprendizajeColaborativo_P2!M16</f>
        <v>99.125</v>
      </c>
      <c r="D16" s="22">
        <f>AprendizajeColaborativo_P3!M16</f>
        <v>94.85</v>
      </c>
      <c r="E16" s="22">
        <f>AprendizajeColaborativo_P4!M16</f>
        <v>84.286000000000001</v>
      </c>
      <c r="F16" s="16">
        <f t="shared" si="1"/>
        <v>94.565250000000006</v>
      </c>
      <c r="H16" s="32">
        <v>6</v>
      </c>
    </row>
    <row r="17" spans="1:8" ht="13.15" x14ac:dyDescent="0.4">
      <c r="A17" s="5" t="s">
        <v>92</v>
      </c>
      <c r="B17" s="22">
        <f>AprendizajeColaborativo_P1!M17</f>
        <v>96.356499999999997</v>
      </c>
      <c r="C17" s="22">
        <f>AprendizajeColaborativo_P2!M17</f>
        <v>97.9</v>
      </c>
      <c r="D17" s="22">
        <f>AprendizajeColaborativo_P3!M17</f>
        <v>92.9</v>
      </c>
      <c r="E17" s="22">
        <f>AprendizajeColaborativo_P4!M17</f>
        <v>98.05</v>
      </c>
      <c r="F17" s="16">
        <f t="shared" si="1"/>
        <v>96.301625000000016</v>
      </c>
      <c r="H17" s="32">
        <v>7</v>
      </c>
    </row>
    <row r="18" spans="1:8" ht="13.15" x14ac:dyDescent="0.4">
      <c r="A18" s="5" t="s">
        <v>93</v>
      </c>
      <c r="B18" s="22">
        <f>AprendizajeColaborativo_P1!M18</f>
        <v>98.628</v>
      </c>
      <c r="C18" s="22">
        <f>AprendizajeColaborativo_P2!M18</f>
        <v>99.474999999999994</v>
      </c>
      <c r="D18" s="22">
        <f>AprendizajeColaborativo_P3!M18</f>
        <v>93.8</v>
      </c>
      <c r="E18" s="22">
        <f>AprendizajeColaborativo_P4!M18</f>
        <v>98.95</v>
      </c>
      <c r="F18" s="16">
        <f t="shared" si="1"/>
        <v>97.713250000000002</v>
      </c>
      <c r="H18" s="32">
        <v>1</v>
      </c>
    </row>
    <row r="19" spans="1:8" ht="13.15" x14ac:dyDescent="0.4">
      <c r="A19" s="5" t="s">
        <v>94</v>
      </c>
      <c r="B19" s="22">
        <f>AprendizajeColaborativo_P1!M19</f>
        <v>98.263499999999993</v>
      </c>
      <c r="C19" s="22">
        <f>AprendizajeColaborativo_P2!M19</f>
        <v>96.716666666666669</v>
      </c>
      <c r="D19" s="22">
        <f>AprendizajeColaborativo_P3!M19</f>
        <v>94.166666666666657</v>
      </c>
      <c r="E19" s="22">
        <f>AprendizajeColaborativo_P4!M19</f>
        <v>97.816666666666663</v>
      </c>
      <c r="F19" s="16">
        <f t="shared" si="1"/>
        <v>96.740875000000003</v>
      </c>
      <c r="H19" s="32">
        <v>2</v>
      </c>
    </row>
    <row r="20" spans="1:8" ht="13.15" x14ac:dyDescent="0.4">
      <c r="A20" s="5" t="s">
        <v>140</v>
      </c>
      <c r="B20" s="22">
        <f>AprendizajeColaborativo_P1!M20</f>
        <v>95.939833333333326</v>
      </c>
      <c r="C20" s="22">
        <f>AprendizajeColaborativo_P2!M20</f>
        <v>97.9</v>
      </c>
      <c r="D20" s="22">
        <f>AprendizajeColaborativo_P3!M20</f>
        <v>92.9</v>
      </c>
      <c r="E20" s="22">
        <f>AprendizajeColaborativo_P4!M20</f>
        <v>98.05</v>
      </c>
      <c r="F20" s="16">
        <f t="shared" si="1"/>
        <v>96.19745833333333</v>
      </c>
      <c r="H20" s="32">
        <v>7</v>
      </c>
    </row>
    <row r="21" spans="1:8" ht="13.15" x14ac:dyDescent="0.4">
      <c r="A21" s="5" t="s">
        <v>95</v>
      </c>
      <c r="B21" s="22">
        <f>AprendizajeColaborativo_P1!M21</f>
        <v>99.096833333333336</v>
      </c>
      <c r="C21" s="22">
        <f>AprendizajeColaborativo_P2!M21</f>
        <v>97.55</v>
      </c>
      <c r="D21" s="22">
        <f>AprendizajeColaborativo_P3!M21</f>
        <v>95</v>
      </c>
      <c r="E21" s="22">
        <f>AprendizajeColaborativo_P4!M21</f>
        <v>98.65</v>
      </c>
      <c r="F21" s="16">
        <f t="shared" si="1"/>
        <v>97.574208333333331</v>
      </c>
      <c r="H21" s="32">
        <v>2</v>
      </c>
    </row>
    <row r="22" spans="1:8" ht="13.15" x14ac:dyDescent="0.4">
      <c r="A22" s="5" t="s">
        <v>96</v>
      </c>
      <c r="B22" s="22">
        <f>AprendizajeColaborativo_P1!M22</f>
        <v>99.096833333333336</v>
      </c>
      <c r="C22" s="22">
        <f>AprendizajeColaborativo_P2!M22</f>
        <v>97.55</v>
      </c>
      <c r="D22" s="22">
        <f>AprendizajeColaborativo_P3!M22</f>
        <v>95</v>
      </c>
      <c r="E22" s="22">
        <f>AprendizajeColaborativo_P4!M22</f>
        <v>98.65</v>
      </c>
      <c r="F22" s="16">
        <f t="shared" si="1"/>
        <v>97.574208333333331</v>
      </c>
      <c r="H22" s="32">
        <v>2</v>
      </c>
    </row>
    <row r="23" spans="1:8" ht="13.15" x14ac:dyDescent="0.4">
      <c r="A23" s="5" t="s">
        <v>141</v>
      </c>
      <c r="B23" s="22">
        <f>AprendizajeColaborativo_P1!M23</f>
        <v>0</v>
      </c>
      <c r="C23" s="22">
        <f>AprendizajeColaborativo_P2!M23</f>
        <v>0</v>
      </c>
      <c r="D23" s="22">
        <f>AprendizajeColaborativo_P3!M23</f>
        <v>0</v>
      </c>
      <c r="E23" s="22">
        <f>AprendizajeColaborativo_P4!M23</f>
        <v>0</v>
      </c>
      <c r="F23" s="16">
        <f t="shared" si="1"/>
        <v>0</v>
      </c>
      <c r="H23" s="32"/>
    </row>
    <row r="24" spans="1:8" ht="13.15" x14ac:dyDescent="0.4">
      <c r="A24" s="5" t="s">
        <v>142</v>
      </c>
      <c r="B24" s="22">
        <f>AprendizajeColaborativo_P1!M24</f>
        <v>29.905249999999999</v>
      </c>
      <c r="C24" s="22">
        <f>AprendizajeColaborativo_P2!M24</f>
        <v>2.5</v>
      </c>
      <c r="D24" s="22">
        <f>AprendizajeColaborativo_P3!M24</f>
        <v>68.566666666666663</v>
      </c>
      <c r="E24" s="22">
        <f>AprendizajeColaborativo_P4!M24</f>
        <v>2.5</v>
      </c>
      <c r="F24" s="16">
        <f t="shared" si="1"/>
        <v>25.867979166666665</v>
      </c>
      <c r="H24" s="32">
        <v>3</v>
      </c>
    </row>
    <row r="25" spans="1:8" ht="13.15" x14ac:dyDescent="0.4">
      <c r="A25" s="5" t="s">
        <v>143</v>
      </c>
      <c r="B25" s="22">
        <f>AprendizajeColaborativo_P1!M25</f>
        <v>29.905249999999999</v>
      </c>
      <c r="C25" s="22">
        <f>AprendizajeColaborativo_P2!M25</f>
        <v>2.5</v>
      </c>
      <c r="D25" s="22">
        <f>AprendizajeColaborativo_P3!M25</f>
        <v>68.566666666666663</v>
      </c>
      <c r="E25" s="22">
        <f>AprendizajeColaborativo_P4!M25</f>
        <v>2.5</v>
      </c>
      <c r="F25" s="16">
        <f t="shared" si="1"/>
        <v>25.867979166666665</v>
      </c>
      <c r="H25" s="32">
        <v>3</v>
      </c>
    </row>
    <row r="26" spans="1:8" ht="13.15" x14ac:dyDescent="0.4">
      <c r="A26" s="5" t="s">
        <v>97</v>
      </c>
      <c r="B26" s="22">
        <f>AprendizajeColaborativo_P1!M26</f>
        <v>98.628</v>
      </c>
      <c r="C26" s="22">
        <f>AprendizajeColaborativo_P2!M26</f>
        <v>99.474999999999994</v>
      </c>
      <c r="D26" s="22">
        <f>AprendizajeColaborativo_P3!M26</f>
        <v>93.8</v>
      </c>
      <c r="E26" s="22">
        <f>AprendizajeColaborativo_P4!M26</f>
        <v>98.95</v>
      </c>
      <c r="F26" s="16">
        <f t="shared" si="1"/>
        <v>97.713250000000002</v>
      </c>
      <c r="H26" s="32">
        <v>1</v>
      </c>
    </row>
    <row r="27" spans="1:8" ht="13.15" x14ac:dyDescent="0.4">
      <c r="A27" s="5" t="s">
        <v>98</v>
      </c>
      <c r="B27" s="22">
        <f>AprendizajeColaborativo_P1!M27</f>
        <v>98.971000000000004</v>
      </c>
      <c r="C27" s="22">
        <f>AprendizajeColaborativo_P2!M27</f>
        <v>99.65</v>
      </c>
      <c r="D27" s="22">
        <f>AprendizajeColaborativo_P3!M27</f>
        <v>94.85</v>
      </c>
      <c r="E27" s="22">
        <f>AprendizajeColaborativo_P4!M27</f>
        <v>99.55</v>
      </c>
      <c r="F27" s="16">
        <f t="shared" si="1"/>
        <v>98.255250000000004</v>
      </c>
      <c r="H27" s="32">
        <v>5</v>
      </c>
    </row>
    <row r="28" spans="1:8" ht="13.15" x14ac:dyDescent="0.4">
      <c r="A28" s="5" t="s">
        <v>144</v>
      </c>
      <c r="B28" s="22">
        <f>AprendizajeColaborativo_P1!M28</f>
        <v>100</v>
      </c>
      <c r="C28" s="22">
        <f>AprendizajeColaborativo_P2!M28</f>
        <v>98.95</v>
      </c>
      <c r="D28" s="22">
        <f>AprendizajeColaborativo_P3!M28</f>
        <v>95</v>
      </c>
      <c r="E28" s="22">
        <f>AprendizajeColaborativo_P4!M28</f>
        <v>98.95</v>
      </c>
      <c r="F28" s="16">
        <f t="shared" si="1"/>
        <v>98.224999999999994</v>
      </c>
      <c r="H28" s="32">
        <v>4</v>
      </c>
    </row>
    <row r="29" spans="1:8" ht="13.15" x14ac:dyDescent="0.4">
      <c r="A29" s="5" t="s">
        <v>99</v>
      </c>
      <c r="B29" s="22">
        <f>AprendizajeColaborativo_P1!M29</f>
        <v>95.523166666666668</v>
      </c>
      <c r="C29" s="22">
        <f>AprendizajeColaborativo_P2!M29</f>
        <v>97.9</v>
      </c>
      <c r="D29" s="22">
        <f>AprendizajeColaborativo_P3!M29</f>
        <v>92.9</v>
      </c>
      <c r="E29" s="22">
        <f>AprendizajeColaborativo_P4!M29</f>
        <v>98.05</v>
      </c>
      <c r="F29" s="16">
        <f t="shared" si="1"/>
        <v>96.093291666666673</v>
      </c>
      <c r="H29" s="32">
        <v>7</v>
      </c>
    </row>
    <row r="30" spans="1:8" ht="13.15" x14ac:dyDescent="0.4">
      <c r="A30" s="5" t="s">
        <v>100</v>
      </c>
      <c r="B30" s="22">
        <f>AprendizajeColaborativo_P1!M30</f>
        <v>100</v>
      </c>
      <c r="C30" s="22">
        <f>AprendizajeColaborativo_P2!M30</f>
        <v>99.125</v>
      </c>
      <c r="D30" s="22">
        <f>AprendizajeColaborativo_P3!M30</f>
        <v>94.85</v>
      </c>
      <c r="E30" s="22">
        <f>AprendizajeColaborativo_P4!M30</f>
        <v>84.286000000000001</v>
      </c>
      <c r="F30" s="16">
        <f t="shared" si="1"/>
        <v>94.565250000000006</v>
      </c>
      <c r="H30" s="32">
        <v>6</v>
      </c>
    </row>
  </sheetData>
  <sheetProtection selectLockedCells="1" selectUnlockedCells="1"/>
  <mergeCells count="1">
    <mergeCell ref="A1:F1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0"/>
  <sheetViews>
    <sheetView workbookViewId="0">
      <pane xSplit="1" ySplit="3" topLeftCell="B4" activePane="bottomRight" state="frozen"/>
      <selection pane="topRight" activeCell="C1" sqref="C1"/>
      <selection pane="bottomLeft" activeCell="A27" sqref="A27"/>
      <selection pane="bottomRight" activeCell="J12" sqref="J12"/>
    </sheetView>
  </sheetViews>
  <sheetFormatPr baseColWidth="10" defaultColWidth="11.3984375" defaultRowHeight="12.75" x14ac:dyDescent="0.35"/>
  <cols>
    <col min="1" max="1" width="7.73046875" style="11" customWidth="1"/>
    <col min="2" max="8" width="10.73046875" style="11" customWidth="1"/>
    <col min="9" max="11" width="15.73046875" style="11" customWidth="1"/>
    <col min="12" max="12" width="15.265625" style="11" bestFit="1" customWidth="1"/>
    <col min="13" max="13" width="16" style="11" bestFit="1" customWidth="1"/>
    <col min="14" max="16" width="11.3984375" style="11"/>
    <col min="17" max="17" width="35.33203125" style="11" bestFit="1" customWidth="1"/>
    <col min="18" max="16384" width="11.3984375" style="11"/>
  </cols>
  <sheetData>
    <row r="1" spans="1:19" ht="15" x14ac:dyDescent="0.4">
      <c r="A1" s="73" t="s">
        <v>28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9" ht="13.15" x14ac:dyDescent="0.4">
      <c r="A2" s="12"/>
      <c r="B2" s="13"/>
      <c r="C2" s="14"/>
      <c r="D2" s="14"/>
      <c r="E2" s="14"/>
      <c r="F2" s="14"/>
      <c r="G2" s="14"/>
      <c r="H2" s="14"/>
      <c r="I2" s="14"/>
      <c r="J2" s="17"/>
      <c r="K2" s="17"/>
    </row>
    <row r="3" spans="1:19" x14ac:dyDescent="0.35">
      <c r="A3" s="21" t="s">
        <v>2</v>
      </c>
      <c r="B3" s="21">
        <v>1</v>
      </c>
      <c r="C3" s="21">
        <v>2</v>
      </c>
      <c r="D3" s="21">
        <v>3</v>
      </c>
      <c r="E3" s="21">
        <v>4</v>
      </c>
      <c r="F3" s="21">
        <v>5</v>
      </c>
      <c r="G3" s="21">
        <v>6</v>
      </c>
      <c r="H3" s="21">
        <v>7</v>
      </c>
      <c r="I3" s="21" t="s">
        <v>27</v>
      </c>
      <c r="J3" s="21" t="s">
        <v>29</v>
      </c>
      <c r="K3" s="21" t="s">
        <v>30</v>
      </c>
      <c r="L3" s="45" t="s">
        <v>76</v>
      </c>
      <c r="M3" s="46" t="s">
        <v>77</v>
      </c>
      <c r="Q3" s="15" t="s">
        <v>19</v>
      </c>
      <c r="R3" s="15" t="s">
        <v>20</v>
      </c>
      <c r="S3" s="15" t="s">
        <v>78</v>
      </c>
    </row>
    <row r="4" spans="1:19" ht="13.15" x14ac:dyDescent="0.4">
      <c r="A4" s="5" t="s">
        <v>81</v>
      </c>
      <c r="B4" s="22">
        <v>100</v>
      </c>
      <c r="C4" s="22">
        <v>0</v>
      </c>
      <c r="D4" s="22">
        <v>0</v>
      </c>
      <c r="E4" s="22">
        <v>100</v>
      </c>
      <c r="F4" s="22">
        <v>94.12</v>
      </c>
      <c r="G4" s="22">
        <v>100</v>
      </c>
      <c r="H4" s="22">
        <f>F64</f>
        <v>100</v>
      </c>
      <c r="I4" s="16">
        <f>B4*0.2+C4*0+D4*0+E4*0.35+F4*0.35+G4*0.05+H4*0.05</f>
        <v>97.942000000000007</v>
      </c>
      <c r="J4" s="16">
        <f>C4*0+E4*0.35+F4*0.35+G4*0.05</f>
        <v>72.942000000000007</v>
      </c>
      <c r="K4" s="16">
        <f>B4*0.2+D4*0+H4*0.05</f>
        <v>25</v>
      </c>
      <c r="L4" s="47">
        <f>F34</f>
        <v>100</v>
      </c>
      <c r="M4" s="9">
        <f>AVERAGE(L4,I4)</f>
        <v>98.971000000000004</v>
      </c>
      <c r="O4" s="32">
        <v>5</v>
      </c>
      <c r="Q4" s="6" t="s">
        <v>31</v>
      </c>
      <c r="R4" s="30">
        <v>20</v>
      </c>
      <c r="S4" s="51">
        <f>R4*10/$R$11/100</f>
        <v>0.02</v>
      </c>
    </row>
    <row r="5" spans="1:19" ht="13.15" x14ac:dyDescent="0.4">
      <c r="A5" s="5" t="s">
        <v>82</v>
      </c>
      <c r="B5" s="22">
        <v>100</v>
      </c>
      <c r="C5" s="22">
        <v>0</v>
      </c>
      <c r="D5" s="22">
        <v>0</v>
      </c>
      <c r="E5" s="22">
        <v>100</v>
      </c>
      <c r="F5" s="22">
        <v>100</v>
      </c>
      <c r="G5" s="22">
        <v>100</v>
      </c>
      <c r="H5" s="22">
        <f t="shared" ref="H5:H6" si="0">F65</f>
        <v>100</v>
      </c>
      <c r="I5" s="16">
        <f t="shared" ref="I5:I30" si="1">B5*0.2+C5*0+D5*0+E5*0.35+F5*0.35+G5*0.05+H5*0.05</f>
        <v>100</v>
      </c>
      <c r="J5" s="16">
        <f t="shared" ref="J5:J30" si="2">C5*0+E5*0.35+F5*0.35+G5*0.05</f>
        <v>75</v>
      </c>
      <c r="K5" s="16">
        <f t="shared" ref="K5:K30" si="3">B5*0.2+D5*0+H5*0.05</f>
        <v>25</v>
      </c>
      <c r="L5" s="47">
        <f t="shared" ref="L5:L6" si="4">F35</f>
        <v>100</v>
      </c>
      <c r="M5" s="9">
        <f t="shared" ref="M5:M6" si="5">AVERAGE(L5,I5)</f>
        <v>100</v>
      </c>
      <c r="O5" s="32">
        <v>6</v>
      </c>
      <c r="Q5" s="64" t="s">
        <v>32</v>
      </c>
      <c r="R5" s="65">
        <v>0</v>
      </c>
      <c r="S5" s="66">
        <f t="shared" ref="S5:S10" si="6">R5*10/$R$11/100</f>
        <v>0</v>
      </c>
    </row>
    <row r="6" spans="1:19" ht="13.15" x14ac:dyDescent="0.4">
      <c r="A6" s="5" t="s">
        <v>83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f t="shared" si="0"/>
        <v>0</v>
      </c>
      <c r="I6" s="16">
        <f t="shared" si="1"/>
        <v>0</v>
      </c>
      <c r="J6" s="16">
        <f t="shared" si="2"/>
        <v>0</v>
      </c>
      <c r="K6" s="16">
        <f t="shared" si="3"/>
        <v>0</v>
      </c>
      <c r="L6" s="47">
        <f t="shared" si="4"/>
        <v>0</v>
      </c>
      <c r="M6" s="9">
        <f t="shared" si="5"/>
        <v>0</v>
      </c>
      <c r="O6" s="32"/>
      <c r="Q6" s="64" t="s">
        <v>33</v>
      </c>
      <c r="R6" s="65">
        <v>0</v>
      </c>
      <c r="S6" s="66">
        <f t="shared" si="6"/>
        <v>0</v>
      </c>
    </row>
    <row r="7" spans="1:19" ht="13.15" x14ac:dyDescent="0.4">
      <c r="A7" s="5" t="s">
        <v>84</v>
      </c>
      <c r="B7" s="22">
        <v>100</v>
      </c>
      <c r="C7" s="22">
        <v>0</v>
      </c>
      <c r="D7" s="22">
        <v>0</v>
      </c>
      <c r="E7" s="22">
        <v>100</v>
      </c>
      <c r="F7" s="22">
        <v>97.22</v>
      </c>
      <c r="G7" s="22">
        <v>100</v>
      </c>
      <c r="H7" s="22">
        <f t="shared" ref="H7:H30" si="7">F67</f>
        <v>100</v>
      </c>
      <c r="I7" s="16">
        <f t="shared" si="1"/>
        <v>99.026999999999987</v>
      </c>
      <c r="J7" s="16">
        <f t="shared" si="2"/>
        <v>74.026999999999987</v>
      </c>
      <c r="K7" s="16">
        <f t="shared" si="3"/>
        <v>25</v>
      </c>
      <c r="L7" s="47">
        <f t="shared" ref="L7:L30" si="8">F37</f>
        <v>97.500000000000014</v>
      </c>
      <c r="M7" s="9">
        <f t="shared" ref="M7:M30" si="9">AVERAGE(L7,I7)</f>
        <v>98.263499999999993</v>
      </c>
      <c r="O7" s="32">
        <v>2</v>
      </c>
      <c r="Q7" s="6" t="s">
        <v>34</v>
      </c>
      <c r="R7" s="30">
        <v>35</v>
      </c>
      <c r="S7" s="51">
        <f t="shared" si="6"/>
        <v>3.5000000000000003E-2</v>
      </c>
    </row>
    <row r="8" spans="1:19" ht="13.15" x14ac:dyDescent="0.4">
      <c r="A8" s="5" t="s">
        <v>138</v>
      </c>
      <c r="B8" s="22">
        <v>50</v>
      </c>
      <c r="C8" s="22">
        <v>0</v>
      </c>
      <c r="D8" s="22">
        <v>0</v>
      </c>
      <c r="E8" s="22">
        <v>0</v>
      </c>
      <c r="F8" s="22">
        <v>28.03</v>
      </c>
      <c r="G8" s="22">
        <v>0</v>
      </c>
      <c r="H8" s="22">
        <f t="shared" si="7"/>
        <v>100</v>
      </c>
      <c r="I8" s="16">
        <f t="shared" si="1"/>
        <v>24.810499999999998</v>
      </c>
      <c r="J8" s="16">
        <f t="shared" si="2"/>
        <v>9.8104999999999993</v>
      </c>
      <c r="K8" s="16">
        <f t="shared" si="3"/>
        <v>15</v>
      </c>
      <c r="L8" s="47">
        <f t="shared" si="8"/>
        <v>0</v>
      </c>
      <c r="M8" s="9">
        <f t="shared" si="9"/>
        <v>12.405249999999999</v>
      </c>
      <c r="O8" s="32">
        <v>3</v>
      </c>
      <c r="Q8" s="6" t="s">
        <v>35</v>
      </c>
      <c r="R8" s="30">
        <v>35</v>
      </c>
      <c r="S8" s="51">
        <f t="shared" si="6"/>
        <v>3.5000000000000003E-2</v>
      </c>
    </row>
    <row r="9" spans="1:19" ht="13.15" x14ac:dyDescent="0.4">
      <c r="A9" s="5" t="s">
        <v>85</v>
      </c>
      <c r="B9" s="22">
        <v>100</v>
      </c>
      <c r="C9" s="22">
        <v>0</v>
      </c>
      <c r="D9" s="22">
        <v>0</v>
      </c>
      <c r="E9" s="22">
        <v>100</v>
      </c>
      <c r="F9" s="22">
        <v>94.12</v>
      </c>
      <c r="G9" s="22">
        <v>100</v>
      </c>
      <c r="H9" s="22">
        <f t="shared" si="7"/>
        <v>100</v>
      </c>
      <c r="I9" s="16">
        <f t="shared" si="1"/>
        <v>97.942000000000007</v>
      </c>
      <c r="J9" s="16">
        <f t="shared" si="2"/>
        <v>72.942000000000007</v>
      </c>
      <c r="K9" s="16">
        <f t="shared" si="3"/>
        <v>25</v>
      </c>
      <c r="L9" s="47">
        <f t="shared" si="8"/>
        <v>100</v>
      </c>
      <c r="M9" s="9">
        <f t="shared" si="9"/>
        <v>98.971000000000004</v>
      </c>
      <c r="O9" s="32">
        <v>5</v>
      </c>
      <c r="Q9" s="6" t="s">
        <v>36</v>
      </c>
      <c r="R9" s="30">
        <v>5</v>
      </c>
      <c r="S9" s="51">
        <f t="shared" si="6"/>
        <v>5.0000000000000001E-3</v>
      </c>
    </row>
    <row r="10" spans="1:19" ht="13.15" x14ac:dyDescent="0.4">
      <c r="A10" s="5" t="s">
        <v>86</v>
      </c>
      <c r="B10" s="22">
        <v>100</v>
      </c>
      <c r="C10" s="22">
        <v>0</v>
      </c>
      <c r="D10" s="22">
        <v>0</v>
      </c>
      <c r="E10" s="22">
        <v>100</v>
      </c>
      <c r="F10" s="22">
        <v>92.16</v>
      </c>
      <c r="G10" s="22">
        <v>100</v>
      </c>
      <c r="H10" s="22">
        <f t="shared" si="7"/>
        <v>100</v>
      </c>
      <c r="I10" s="16">
        <f t="shared" si="1"/>
        <v>97.256</v>
      </c>
      <c r="J10" s="16">
        <f t="shared" si="2"/>
        <v>72.256</v>
      </c>
      <c r="K10" s="16">
        <f t="shared" si="3"/>
        <v>25</v>
      </c>
      <c r="L10" s="47">
        <f t="shared" si="8"/>
        <v>100</v>
      </c>
      <c r="M10" s="9">
        <f t="shared" si="9"/>
        <v>98.628</v>
      </c>
      <c r="O10" s="32">
        <v>1</v>
      </c>
      <c r="Q10" s="64" t="s">
        <v>146</v>
      </c>
      <c r="R10" s="65">
        <v>5</v>
      </c>
      <c r="S10" s="66">
        <f t="shared" si="6"/>
        <v>5.0000000000000001E-3</v>
      </c>
    </row>
    <row r="11" spans="1:19" ht="13.15" x14ac:dyDescent="0.4">
      <c r="A11" s="5" t="s">
        <v>87</v>
      </c>
      <c r="B11" s="22">
        <v>100</v>
      </c>
      <c r="C11" s="22">
        <v>0</v>
      </c>
      <c r="D11" s="22">
        <v>0</v>
      </c>
      <c r="E11" s="22">
        <v>100</v>
      </c>
      <c r="F11" s="22">
        <v>79.180000000000007</v>
      </c>
      <c r="G11" s="22">
        <v>100</v>
      </c>
      <c r="H11" s="22">
        <f t="shared" si="7"/>
        <v>100</v>
      </c>
      <c r="I11" s="16">
        <f t="shared" si="1"/>
        <v>92.712999999999994</v>
      </c>
      <c r="J11" s="16">
        <f t="shared" si="2"/>
        <v>67.712999999999994</v>
      </c>
      <c r="K11" s="16">
        <f t="shared" si="3"/>
        <v>25</v>
      </c>
      <c r="L11" s="47">
        <f t="shared" si="8"/>
        <v>98.333333333333343</v>
      </c>
      <c r="M11" s="9">
        <f t="shared" si="9"/>
        <v>95.523166666666668</v>
      </c>
      <c r="O11" s="32">
        <v>7</v>
      </c>
      <c r="Q11" s="19" t="s">
        <v>21</v>
      </c>
      <c r="R11" s="20">
        <f>SUM(R4:R10)</f>
        <v>100</v>
      </c>
      <c r="S11" s="50">
        <f>SUM(S4:S10)</f>
        <v>0.10000000000000002</v>
      </c>
    </row>
    <row r="12" spans="1:19" ht="13.15" x14ac:dyDescent="0.4">
      <c r="A12" s="5" t="s">
        <v>88</v>
      </c>
      <c r="B12" s="22">
        <v>100</v>
      </c>
      <c r="C12" s="22">
        <v>0</v>
      </c>
      <c r="D12" s="22">
        <v>0</v>
      </c>
      <c r="E12" s="22">
        <v>100</v>
      </c>
      <c r="F12" s="22">
        <v>92.16</v>
      </c>
      <c r="G12" s="22">
        <v>100</v>
      </c>
      <c r="H12" s="22">
        <f t="shared" si="7"/>
        <v>100</v>
      </c>
      <c r="I12" s="16">
        <f t="shared" si="1"/>
        <v>97.256</v>
      </c>
      <c r="J12" s="16">
        <f t="shared" si="2"/>
        <v>72.256</v>
      </c>
      <c r="K12" s="16">
        <f t="shared" si="3"/>
        <v>25</v>
      </c>
      <c r="L12" s="47">
        <f t="shared" si="8"/>
        <v>98.333333333333329</v>
      </c>
      <c r="M12" s="9">
        <f t="shared" si="9"/>
        <v>97.794666666666672</v>
      </c>
      <c r="O12" s="32">
        <v>1</v>
      </c>
    </row>
    <row r="13" spans="1:19" ht="13.15" x14ac:dyDescent="0.4">
      <c r="A13" s="5" t="s">
        <v>139</v>
      </c>
      <c r="B13" s="22">
        <v>100</v>
      </c>
      <c r="C13" s="22">
        <v>0</v>
      </c>
      <c r="D13" s="22">
        <v>0</v>
      </c>
      <c r="E13" s="22">
        <v>100</v>
      </c>
      <c r="F13" s="22">
        <v>100</v>
      </c>
      <c r="G13" s="22">
        <v>100</v>
      </c>
      <c r="H13" s="22">
        <f t="shared" si="7"/>
        <v>100</v>
      </c>
      <c r="I13" s="16">
        <f t="shared" si="1"/>
        <v>100</v>
      </c>
      <c r="J13" s="16">
        <f t="shared" si="2"/>
        <v>75</v>
      </c>
      <c r="K13" s="16">
        <f t="shared" si="3"/>
        <v>25</v>
      </c>
      <c r="L13" s="47">
        <f t="shared" si="8"/>
        <v>100</v>
      </c>
      <c r="M13" s="9">
        <f t="shared" si="9"/>
        <v>100</v>
      </c>
      <c r="O13" s="32">
        <v>4</v>
      </c>
    </row>
    <row r="14" spans="1:19" ht="13.15" x14ac:dyDescent="0.4">
      <c r="A14" s="5" t="s">
        <v>89</v>
      </c>
      <c r="B14" s="22">
        <v>100</v>
      </c>
      <c r="C14" s="22">
        <v>0</v>
      </c>
      <c r="D14" s="22">
        <v>0</v>
      </c>
      <c r="E14" s="22">
        <v>100</v>
      </c>
      <c r="F14" s="22">
        <v>100</v>
      </c>
      <c r="G14" s="22">
        <v>100</v>
      </c>
      <c r="H14" s="22">
        <f t="shared" si="7"/>
        <v>100</v>
      </c>
      <c r="I14" s="16">
        <f t="shared" si="1"/>
        <v>100</v>
      </c>
      <c r="J14" s="16">
        <f t="shared" si="2"/>
        <v>75</v>
      </c>
      <c r="K14" s="16">
        <f t="shared" si="3"/>
        <v>25</v>
      </c>
      <c r="L14" s="47">
        <f t="shared" si="8"/>
        <v>100</v>
      </c>
      <c r="M14" s="9">
        <f t="shared" si="9"/>
        <v>100</v>
      </c>
      <c r="O14" s="32">
        <v>6</v>
      </c>
    </row>
    <row r="15" spans="1:19" ht="13.15" x14ac:dyDescent="0.4">
      <c r="A15" s="5" t="s">
        <v>90</v>
      </c>
      <c r="B15" s="22">
        <v>100</v>
      </c>
      <c r="C15" s="22">
        <v>0</v>
      </c>
      <c r="D15" s="22">
        <v>0</v>
      </c>
      <c r="E15" s="22">
        <v>100</v>
      </c>
      <c r="F15" s="22">
        <v>100</v>
      </c>
      <c r="G15" s="22">
        <v>100</v>
      </c>
      <c r="H15" s="22">
        <f t="shared" si="7"/>
        <v>100</v>
      </c>
      <c r="I15" s="16">
        <f t="shared" si="1"/>
        <v>100</v>
      </c>
      <c r="J15" s="16">
        <f t="shared" si="2"/>
        <v>75</v>
      </c>
      <c r="K15" s="16">
        <f t="shared" si="3"/>
        <v>25</v>
      </c>
      <c r="L15" s="47">
        <f t="shared" si="8"/>
        <v>100</v>
      </c>
      <c r="M15" s="9">
        <f t="shared" si="9"/>
        <v>100</v>
      </c>
      <c r="O15" s="32">
        <v>4</v>
      </c>
    </row>
    <row r="16" spans="1:19" ht="13.15" x14ac:dyDescent="0.4">
      <c r="A16" s="5" t="s">
        <v>91</v>
      </c>
      <c r="B16" s="22">
        <v>100</v>
      </c>
      <c r="C16" s="22">
        <v>0</v>
      </c>
      <c r="D16" s="22">
        <v>0</v>
      </c>
      <c r="E16" s="22">
        <v>100</v>
      </c>
      <c r="F16" s="22">
        <v>100</v>
      </c>
      <c r="G16" s="22">
        <v>100</v>
      </c>
      <c r="H16" s="22">
        <f t="shared" si="7"/>
        <v>100</v>
      </c>
      <c r="I16" s="16">
        <f t="shared" si="1"/>
        <v>100</v>
      </c>
      <c r="J16" s="16">
        <f t="shared" si="2"/>
        <v>75</v>
      </c>
      <c r="K16" s="16">
        <f t="shared" si="3"/>
        <v>25</v>
      </c>
      <c r="L16" s="47">
        <f t="shared" si="8"/>
        <v>100</v>
      </c>
      <c r="M16" s="9">
        <f t="shared" si="9"/>
        <v>100</v>
      </c>
      <c r="O16" s="32">
        <v>6</v>
      </c>
    </row>
    <row r="17" spans="1:15" ht="13.15" x14ac:dyDescent="0.4">
      <c r="A17" s="5" t="s">
        <v>92</v>
      </c>
      <c r="B17" s="22">
        <v>100</v>
      </c>
      <c r="C17" s="22">
        <v>0</v>
      </c>
      <c r="D17" s="22">
        <v>0</v>
      </c>
      <c r="E17" s="22">
        <v>100</v>
      </c>
      <c r="F17" s="22">
        <v>79.180000000000007</v>
      </c>
      <c r="G17" s="22">
        <v>100</v>
      </c>
      <c r="H17" s="22">
        <f t="shared" si="7"/>
        <v>100</v>
      </c>
      <c r="I17" s="16">
        <f t="shared" si="1"/>
        <v>92.712999999999994</v>
      </c>
      <c r="J17" s="16">
        <f t="shared" si="2"/>
        <v>67.712999999999994</v>
      </c>
      <c r="K17" s="16">
        <f t="shared" si="3"/>
        <v>25</v>
      </c>
      <c r="L17" s="47">
        <f t="shared" si="8"/>
        <v>100</v>
      </c>
      <c r="M17" s="9">
        <f t="shared" si="9"/>
        <v>96.356499999999997</v>
      </c>
      <c r="O17" s="32">
        <v>7</v>
      </c>
    </row>
    <row r="18" spans="1:15" ht="13.15" x14ac:dyDescent="0.4">
      <c r="A18" s="5" t="s">
        <v>93</v>
      </c>
      <c r="B18" s="22">
        <v>100</v>
      </c>
      <c r="C18" s="22">
        <v>0</v>
      </c>
      <c r="D18" s="22">
        <v>0</v>
      </c>
      <c r="E18" s="22">
        <v>100</v>
      </c>
      <c r="F18" s="22">
        <v>92.16</v>
      </c>
      <c r="G18" s="22">
        <v>100</v>
      </c>
      <c r="H18" s="22">
        <f t="shared" si="7"/>
        <v>100</v>
      </c>
      <c r="I18" s="16">
        <f t="shared" si="1"/>
        <v>97.256</v>
      </c>
      <c r="J18" s="16">
        <f t="shared" si="2"/>
        <v>72.256</v>
      </c>
      <c r="K18" s="16">
        <f t="shared" si="3"/>
        <v>25</v>
      </c>
      <c r="L18" s="47">
        <f t="shared" si="8"/>
        <v>100</v>
      </c>
      <c r="M18" s="9">
        <f t="shared" si="9"/>
        <v>98.628</v>
      </c>
      <c r="O18" s="32">
        <v>1</v>
      </c>
    </row>
    <row r="19" spans="1:15" ht="13.15" x14ac:dyDescent="0.4">
      <c r="A19" s="5" t="s">
        <v>94</v>
      </c>
      <c r="B19" s="22">
        <v>100</v>
      </c>
      <c r="C19" s="22">
        <v>0</v>
      </c>
      <c r="D19" s="22">
        <v>0</v>
      </c>
      <c r="E19" s="22">
        <v>100</v>
      </c>
      <c r="F19" s="22">
        <v>97.22</v>
      </c>
      <c r="G19" s="22">
        <v>100</v>
      </c>
      <c r="H19" s="22">
        <f t="shared" si="7"/>
        <v>100</v>
      </c>
      <c r="I19" s="16">
        <f t="shared" si="1"/>
        <v>99.026999999999987</v>
      </c>
      <c r="J19" s="16">
        <f t="shared" si="2"/>
        <v>74.026999999999987</v>
      </c>
      <c r="K19" s="16">
        <f t="shared" si="3"/>
        <v>25</v>
      </c>
      <c r="L19" s="47">
        <f t="shared" si="8"/>
        <v>97.5</v>
      </c>
      <c r="M19" s="9">
        <f t="shared" si="9"/>
        <v>98.263499999999993</v>
      </c>
      <c r="O19" s="32">
        <v>2</v>
      </c>
    </row>
    <row r="20" spans="1:15" ht="13.15" x14ac:dyDescent="0.4">
      <c r="A20" s="5" t="s">
        <v>140</v>
      </c>
      <c r="B20" s="22">
        <v>100</v>
      </c>
      <c r="C20" s="22">
        <v>0</v>
      </c>
      <c r="D20" s="22">
        <v>0</v>
      </c>
      <c r="E20" s="22">
        <v>100</v>
      </c>
      <c r="F20" s="22">
        <v>79.180000000000007</v>
      </c>
      <c r="G20" s="22">
        <v>100</v>
      </c>
      <c r="H20" s="22">
        <f t="shared" si="7"/>
        <v>100</v>
      </c>
      <c r="I20" s="16">
        <f t="shared" si="1"/>
        <v>92.712999999999994</v>
      </c>
      <c r="J20" s="16">
        <f t="shared" si="2"/>
        <v>67.712999999999994</v>
      </c>
      <c r="K20" s="16">
        <f t="shared" si="3"/>
        <v>25</v>
      </c>
      <c r="L20" s="47">
        <f t="shared" si="8"/>
        <v>99.166666666666671</v>
      </c>
      <c r="M20" s="9">
        <f t="shared" si="9"/>
        <v>95.939833333333326</v>
      </c>
      <c r="O20" s="32">
        <v>7</v>
      </c>
    </row>
    <row r="21" spans="1:15" ht="13.15" x14ac:dyDescent="0.4">
      <c r="A21" s="5" t="s">
        <v>95</v>
      </c>
      <c r="B21" s="22">
        <v>100</v>
      </c>
      <c r="C21" s="22">
        <v>0</v>
      </c>
      <c r="D21" s="22">
        <v>0</v>
      </c>
      <c r="E21" s="22">
        <v>100</v>
      </c>
      <c r="F21" s="22">
        <v>97.22</v>
      </c>
      <c r="G21" s="22">
        <v>100</v>
      </c>
      <c r="H21" s="22">
        <f t="shared" si="7"/>
        <v>100</v>
      </c>
      <c r="I21" s="16">
        <f t="shared" si="1"/>
        <v>99.026999999999987</v>
      </c>
      <c r="J21" s="16">
        <f t="shared" si="2"/>
        <v>74.026999999999987</v>
      </c>
      <c r="K21" s="16">
        <f t="shared" si="3"/>
        <v>25</v>
      </c>
      <c r="L21" s="47">
        <f t="shared" si="8"/>
        <v>99.166666666666671</v>
      </c>
      <c r="M21" s="9">
        <f t="shared" si="9"/>
        <v>99.096833333333336</v>
      </c>
      <c r="O21" s="32">
        <v>2</v>
      </c>
    </row>
    <row r="22" spans="1:15" ht="13.15" x14ac:dyDescent="0.4">
      <c r="A22" s="5" t="s">
        <v>96</v>
      </c>
      <c r="B22" s="22">
        <v>100</v>
      </c>
      <c r="C22" s="22">
        <v>0</v>
      </c>
      <c r="D22" s="22">
        <v>0</v>
      </c>
      <c r="E22" s="22">
        <v>100</v>
      </c>
      <c r="F22" s="22">
        <v>97.22</v>
      </c>
      <c r="G22" s="22">
        <v>100</v>
      </c>
      <c r="H22" s="22">
        <f t="shared" si="7"/>
        <v>100</v>
      </c>
      <c r="I22" s="16">
        <f t="shared" si="1"/>
        <v>99.026999999999987</v>
      </c>
      <c r="J22" s="16">
        <f t="shared" si="2"/>
        <v>74.026999999999987</v>
      </c>
      <c r="K22" s="16">
        <f t="shared" si="3"/>
        <v>25</v>
      </c>
      <c r="L22" s="47">
        <f t="shared" si="8"/>
        <v>99.166666666666671</v>
      </c>
      <c r="M22" s="9">
        <f t="shared" si="9"/>
        <v>99.096833333333336</v>
      </c>
      <c r="O22" s="32">
        <v>2</v>
      </c>
    </row>
    <row r="23" spans="1:15" ht="13.15" x14ac:dyDescent="0.4">
      <c r="A23" s="5" t="s">
        <v>141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 t="shared" si="7"/>
        <v>0</v>
      </c>
      <c r="I23" s="16">
        <f t="shared" si="1"/>
        <v>0</v>
      </c>
      <c r="J23" s="16">
        <f t="shared" si="2"/>
        <v>0</v>
      </c>
      <c r="K23" s="16">
        <f t="shared" si="3"/>
        <v>0</v>
      </c>
      <c r="L23" s="47">
        <f t="shared" si="8"/>
        <v>0</v>
      </c>
      <c r="M23" s="9">
        <f t="shared" si="9"/>
        <v>0</v>
      </c>
      <c r="O23" s="32"/>
    </row>
    <row r="24" spans="1:15" ht="13.15" x14ac:dyDescent="0.4">
      <c r="A24" s="5" t="s">
        <v>142</v>
      </c>
      <c r="B24" s="22">
        <v>50</v>
      </c>
      <c r="C24" s="22">
        <v>0</v>
      </c>
      <c r="D24" s="22">
        <v>0</v>
      </c>
      <c r="E24" s="22">
        <v>100</v>
      </c>
      <c r="F24" s="22">
        <v>28.03</v>
      </c>
      <c r="G24" s="22">
        <v>0</v>
      </c>
      <c r="H24" s="22">
        <f t="shared" si="7"/>
        <v>100</v>
      </c>
      <c r="I24" s="16">
        <f t="shared" si="1"/>
        <v>59.810499999999998</v>
      </c>
      <c r="J24" s="16">
        <f t="shared" si="2"/>
        <v>44.810499999999998</v>
      </c>
      <c r="K24" s="16">
        <f t="shared" si="3"/>
        <v>15</v>
      </c>
      <c r="L24" s="47">
        <f t="shared" si="8"/>
        <v>0</v>
      </c>
      <c r="M24" s="9">
        <f t="shared" si="9"/>
        <v>29.905249999999999</v>
      </c>
      <c r="O24" s="32">
        <v>3</v>
      </c>
    </row>
    <row r="25" spans="1:15" ht="13.15" x14ac:dyDescent="0.4">
      <c r="A25" s="5" t="s">
        <v>143</v>
      </c>
      <c r="B25" s="22">
        <v>50</v>
      </c>
      <c r="C25" s="22">
        <v>0</v>
      </c>
      <c r="D25" s="22">
        <v>0</v>
      </c>
      <c r="E25" s="22">
        <v>100</v>
      </c>
      <c r="F25" s="22">
        <v>28.03</v>
      </c>
      <c r="G25" s="22">
        <v>0</v>
      </c>
      <c r="H25" s="22">
        <f t="shared" si="7"/>
        <v>100</v>
      </c>
      <c r="I25" s="16">
        <f t="shared" si="1"/>
        <v>59.810499999999998</v>
      </c>
      <c r="J25" s="16">
        <f t="shared" si="2"/>
        <v>44.810499999999998</v>
      </c>
      <c r="K25" s="16">
        <f t="shared" si="3"/>
        <v>15</v>
      </c>
      <c r="L25" s="47">
        <f t="shared" si="8"/>
        <v>0</v>
      </c>
      <c r="M25" s="9">
        <f t="shared" si="9"/>
        <v>29.905249999999999</v>
      </c>
      <c r="O25" s="32">
        <v>3</v>
      </c>
    </row>
    <row r="26" spans="1:15" ht="13.15" x14ac:dyDescent="0.4">
      <c r="A26" s="5" t="s">
        <v>97</v>
      </c>
      <c r="B26" s="22">
        <v>100</v>
      </c>
      <c r="C26" s="22">
        <v>0</v>
      </c>
      <c r="D26" s="22">
        <v>0</v>
      </c>
      <c r="E26" s="22">
        <v>100</v>
      </c>
      <c r="F26" s="22">
        <v>92.16</v>
      </c>
      <c r="G26" s="22">
        <v>100</v>
      </c>
      <c r="H26" s="22">
        <f t="shared" si="7"/>
        <v>100</v>
      </c>
      <c r="I26" s="16">
        <f t="shared" si="1"/>
        <v>97.256</v>
      </c>
      <c r="J26" s="16">
        <f t="shared" si="2"/>
        <v>72.256</v>
      </c>
      <c r="K26" s="16">
        <f t="shared" si="3"/>
        <v>25</v>
      </c>
      <c r="L26" s="47">
        <f t="shared" si="8"/>
        <v>100</v>
      </c>
      <c r="M26" s="9">
        <f t="shared" si="9"/>
        <v>98.628</v>
      </c>
      <c r="O26" s="32">
        <v>1</v>
      </c>
    </row>
    <row r="27" spans="1:15" ht="13.15" x14ac:dyDescent="0.4">
      <c r="A27" s="5" t="s">
        <v>98</v>
      </c>
      <c r="B27" s="22">
        <v>100</v>
      </c>
      <c r="C27" s="22">
        <v>0</v>
      </c>
      <c r="D27" s="22">
        <v>0</v>
      </c>
      <c r="E27" s="22">
        <v>100</v>
      </c>
      <c r="F27" s="22">
        <v>94.12</v>
      </c>
      <c r="G27" s="22">
        <v>100</v>
      </c>
      <c r="H27" s="22">
        <f t="shared" si="7"/>
        <v>100</v>
      </c>
      <c r="I27" s="16">
        <f t="shared" si="1"/>
        <v>97.942000000000007</v>
      </c>
      <c r="J27" s="16">
        <f t="shared" si="2"/>
        <v>72.942000000000007</v>
      </c>
      <c r="K27" s="16">
        <f t="shared" si="3"/>
        <v>25</v>
      </c>
      <c r="L27" s="47">
        <f t="shared" si="8"/>
        <v>100</v>
      </c>
      <c r="M27" s="9">
        <f t="shared" si="9"/>
        <v>98.971000000000004</v>
      </c>
      <c r="O27" s="32">
        <v>5</v>
      </c>
    </row>
    <row r="28" spans="1:15" ht="13.15" x14ac:dyDescent="0.4">
      <c r="A28" s="5" t="s">
        <v>144</v>
      </c>
      <c r="B28" s="22">
        <v>100</v>
      </c>
      <c r="C28" s="22">
        <v>0</v>
      </c>
      <c r="D28" s="22">
        <v>0</v>
      </c>
      <c r="E28" s="22">
        <v>100</v>
      </c>
      <c r="F28" s="22">
        <v>100</v>
      </c>
      <c r="G28" s="22">
        <v>100</v>
      </c>
      <c r="H28" s="22">
        <f t="shared" si="7"/>
        <v>100</v>
      </c>
      <c r="I28" s="16">
        <f t="shared" si="1"/>
        <v>100</v>
      </c>
      <c r="J28" s="16">
        <f t="shared" si="2"/>
        <v>75</v>
      </c>
      <c r="K28" s="16">
        <f t="shared" si="3"/>
        <v>25</v>
      </c>
      <c r="L28" s="47">
        <f t="shared" si="8"/>
        <v>100</v>
      </c>
      <c r="M28" s="9">
        <f t="shared" si="9"/>
        <v>100</v>
      </c>
      <c r="O28" s="32">
        <v>4</v>
      </c>
    </row>
    <row r="29" spans="1:15" ht="13.15" x14ac:dyDescent="0.4">
      <c r="A29" s="5" t="s">
        <v>99</v>
      </c>
      <c r="B29" s="22">
        <v>100</v>
      </c>
      <c r="C29" s="22">
        <v>0</v>
      </c>
      <c r="D29" s="22">
        <v>0</v>
      </c>
      <c r="E29" s="22">
        <v>100</v>
      </c>
      <c r="F29" s="22">
        <v>79.180000000000007</v>
      </c>
      <c r="G29" s="22">
        <v>100</v>
      </c>
      <c r="H29" s="22">
        <f t="shared" si="7"/>
        <v>100</v>
      </c>
      <c r="I29" s="16">
        <f t="shared" si="1"/>
        <v>92.712999999999994</v>
      </c>
      <c r="J29" s="16">
        <f t="shared" si="2"/>
        <v>67.712999999999994</v>
      </c>
      <c r="K29" s="16">
        <f t="shared" si="3"/>
        <v>25</v>
      </c>
      <c r="L29" s="47">
        <f t="shared" si="8"/>
        <v>98.333333333333329</v>
      </c>
      <c r="M29" s="9">
        <f t="shared" si="9"/>
        <v>95.523166666666668</v>
      </c>
      <c r="O29" s="32">
        <v>7</v>
      </c>
    </row>
    <row r="30" spans="1:15" ht="13.15" x14ac:dyDescent="0.4">
      <c r="A30" s="5" t="s">
        <v>100</v>
      </c>
      <c r="B30" s="22">
        <v>100</v>
      </c>
      <c r="C30" s="22">
        <v>0</v>
      </c>
      <c r="D30" s="22">
        <v>0</v>
      </c>
      <c r="E30" s="22">
        <v>100</v>
      </c>
      <c r="F30" s="22">
        <v>100</v>
      </c>
      <c r="G30" s="22">
        <v>100</v>
      </c>
      <c r="H30" s="22">
        <f t="shared" si="7"/>
        <v>100</v>
      </c>
      <c r="I30" s="16">
        <f t="shared" si="1"/>
        <v>100</v>
      </c>
      <c r="J30" s="16">
        <f t="shared" si="2"/>
        <v>75</v>
      </c>
      <c r="K30" s="16">
        <f t="shared" si="3"/>
        <v>25</v>
      </c>
      <c r="L30" s="47">
        <f t="shared" si="8"/>
        <v>100</v>
      </c>
      <c r="M30" s="9">
        <f t="shared" si="9"/>
        <v>100</v>
      </c>
      <c r="O30" s="32">
        <v>6</v>
      </c>
    </row>
    <row r="31" spans="1:15" ht="13.15" x14ac:dyDescent="0.35">
      <c r="O31" s="48"/>
    </row>
    <row r="32" spans="1:15" x14ac:dyDescent="0.35">
      <c r="A32" s="72" t="s">
        <v>70</v>
      </c>
      <c r="B32" s="72"/>
      <c r="C32" s="72"/>
      <c r="D32" s="72"/>
      <c r="E32" s="72"/>
      <c r="F32" s="72"/>
      <c r="G32"/>
    </row>
    <row r="33" spans="1:8" x14ac:dyDescent="0.35">
      <c r="A33" s="33"/>
      <c r="B33" s="34" t="s">
        <v>37</v>
      </c>
      <c r="C33" s="34" t="s">
        <v>38</v>
      </c>
      <c r="D33" s="34" t="s">
        <v>42</v>
      </c>
      <c r="E33" s="35" t="s">
        <v>40</v>
      </c>
      <c r="F33" s="35" t="s">
        <v>18</v>
      </c>
      <c r="G33"/>
    </row>
    <row r="34" spans="1:8" ht="13.15" x14ac:dyDescent="0.4">
      <c r="A34" s="5" t="s">
        <v>81</v>
      </c>
      <c r="B34" s="22">
        <v>100</v>
      </c>
      <c r="C34" s="22">
        <v>100</v>
      </c>
      <c r="D34" s="22">
        <v>100</v>
      </c>
      <c r="E34" s="22">
        <v>100</v>
      </c>
      <c r="F34" s="37">
        <f>AVERAGE(B34:E34)</f>
        <v>100</v>
      </c>
      <c r="G34"/>
      <c r="H34" s="32">
        <v>5</v>
      </c>
    </row>
    <row r="35" spans="1:8" ht="13.15" x14ac:dyDescent="0.4">
      <c r="A35" s="5" t="s">
        <v>82</v>
      </c>
      <c r="B35" s="22">
        <v>100</v>
      </c>
      <c r="C35" s="22">
        <v>100</v>
      </c>
      <c r="D35" s="22">
        <v>100</v>
      </c>
      <c r="E35" s="22">
        <v>100</v>
      </c>
      <c r="F35" s="37">
        <f t="shared" ref="F35:F60" si="10">AVERAGE(B35:E35)</f>
        <v>100</v>
      </c>
      <c r="G35"/>
      <c r="H35" s="32">
        <v>6</v>
      </c>
    </row>
    <row r="36" spans="1:8" ht="13.15" x14ac:dyDescent="0.4">
      <c r="A36" s="5" t="s">
        <v>83</v>
      </c>
      <c r="B36" s="22">
        <v>0</v>
      </c>
      <c r="C36" s="22">
        <v>0</v>
      </c>
      <c r="D36" s="22">
        <v>0</v>
      </c>
      <c r="E36" s="22">
        <v>0</v>
      </c>
      <c r="F36" s="37">
        <f t="shared" si="10"/>
        <v>0</v>
      </c>
      <c r="G36"/>
      <c r="H36" s="32"/>
    </row>
    <row r="37" spans="1:8" ht="13.15" x14ac:dyDescent="0.4">
      <c r="A37" s="5" t="s">
        <v>84</v>
      </c>
      <c r="B37" s="22">
        <f>29/30*100</f>
        <v>96.666666666666671</v>
      </c>
      <c r="C37" s="22">
        <v>100</v>
      </c>
      <c r="D37" s="22">
        <f>29/30*100</f>
        <v>96.666666666666671</v>
      </c>
      <c r="E37" s="22">
        <f>29/30*100</f>
        <v>96.666666666666671</v>
      </c>
      <c r="F37" s="37">
        <f t="shared" si="10"/>
        <v>97.500000000000014</v>
      </c>
      <c r="G37"/>
      <c r="H37" s="32">
        <v>2</v>
      </c>
    </row>
    <row r="38" spans="1:8" ht="13.15" x14ac:dyDescent="0.4">
      <c r="A38" s="5" t="s">
        <v>138</v>
      </c>
      <c r="B38" s="22">
        <v>0</v>
      </c>
      <c r="C38" s="22">
        <v>0</v>
      </c>
      <c r="D38" s="22">
        <v>0</v>
      </c>
      <c r="E38" s="22">
        <v>0</v>
      </c>
      <c r="F38" s="37">
        <f t="shared" si="10"/>
        <v>0</v>
      </c>
      <c r="G38"/>
      <c r="H38" s="32">
        <v>3</v>
      </c>
    </row>
    <row r="39" spans="1:8" ht="13.15" x14ac:dyDescent="0.4">
      <c r="A39" s="5" t="s">
        <v>85</v>
      </c>
      <c r="B39" s="22">
        <v>100</v>
      </c>
      <c r="C39" s="22">
        <v>100</v>
      </c>
      <c r="D39" s="22">
        <v>100</v>
      </c>
      <c r="E39" s="22">
        <v>100</v>
      </c>
      <c r="F39" s="37">
        <f t="shared" si="10"/>
        <v>100</v>
      </c>
      <c r="G39"/>
      <c r="H39" s="32">
        <v>5</v>
      </c>
    </row>
    <row r="40" spans="1:8" ht="13.15" x14ac:dyDescent="0.4">
      <c r="A40" s="5" t="s">
        <v>86</v>
      </c>
      <c r="B40" s="22">
        <v>100</v>
      </c>
      <c r="C40" s="22">
        <v>100</v>
      </c>
      <c r="D40" s="22">
        <v>100</v>
      </c>
      <c r="E40" s="22">
        <v>100</v>
      </c>
      <c r="F40" s="37">
        <f t="shared" si="10"/>
        <v>100</v>
      </c>
      <c r="G40"/>
      <c r="H40" s="32">
        <v>1</v>
      </c>
    </row>
    <row r="41" spans="1:8" ht="13.15" x14ac:dyDescent="0.4">
      <c r="A41" s="5" t="s">
        <v>87</v>
      </c>
      <c r="B41" s="22">
        <f>29/30*100</f>
        <v>96.666666666666671</v>
      </c>
      <c r="C41" s="22">
        <v>100</v>
      </c>
      <c r="D41" s="22">
        <v>100</v>
      </c>
      <c r="E41" s="22">
        <f>29/30*100</f>
        <v>96.666666666666671</v>
      </c>
      <c r="F41" s="37">
        <f t="shared" si="10"/>
        <v>98.333333333333343</v>
      </c>
      <c r="G41"/>
      <c r="H41" s="32">
        <v>7</v>
      </c>
    </row>
    <row r="42" spans="1:8" ht="13.15" x14ac:dyDescent="0.4">
      <c r="A42" s="5" t="s">
        <v>88</v>
      </c>
      <c r="B42" s="22">
        <v>100</v>
      </c>
      <c r="C42" s="22">
        <f>28/30*100</f>
        <v>93.333333333333329</v>
      </c>
      <c r="D42" s="22">
        <v>100</v>
      </c>
      <c r="E42" s="22">
        <v>100</v>
      </c>
      <c r="F42" s="37">
        <f t="shared" si="10"/>
        <v>98.333333333333329</v>
      </c>
      <c r="G42"/>
      <c r="H42" s="32">
        <v>1</v>
      </c>
    </row>
    <row r="43" spans="1:8" ht="13.15" x14ac:dyDescent="0.4">
      <c r="A43" s="5" t="s">
        <v>139</v>
      </c>
      <c r="B43" s="22">
        <v>100</v>
      </c>
      <c r="C43" s="22">
        <v>100</v>
      </c>
      <c r="D43" s="22">
        <v>100</v>
      </c>
      <c r="E43" s="22">
        <v>100</v>
      </c>
      <c r="F43" s="37">
        <f t="shared" si="10"/>
        <v>100</v>
      </c>
      <c r="G43"/>
      <c r="H43" s="32">
        <v>4</v>
      </c>
    </row>
    <row r="44" spans="1:8" ht="13.15" x14ac:dyDescent="0.4">
      <c r="A44" s="5" t="s">
        <v>89</v>
      </c>
      <c r="B44" s="22">
        <v>100</v>
      </c>
      <c r="C44" s="22">
        <v>100</v>
      </c>
      <c r="D44" s="22">
        <v>100</v>
      </c>
      <c r="E44" s="22">
        <v>100</v>
      </c>
      <c r="F44" s="37">
        <f t="shared" si="10"/>
        <v>100</v>
      </c>
      <c r="G44"/>
      <c r="H44" s="32">
        <v>6</v>
      </c>
    </row>
    <row r="45" spans="1:8" ht="13.15" x14ac:dyDescent="0.4">
      <c r="A45" s="5" t="s">
        <v>90</v>
      </c>
      <c r="B45" s="22">
        <v>100</v>
      </c>
      <c r="C45" s="22">
        <v>100</v>
      </c>
      <c r="D45" s="22">
        <v>100</v>
      </c>
      <c r="E45" s="22">
        <v>100</v>
      </c>
      <c r="F45" s="37">
        <f t="shared" si="10"/>
        <v>100</v>
      </c>
      <c r="G45"/>
      <c r="H45" s="32">
        <v>4</v>
      </c>
    </row>
    <row r="46" spans="1:8" ht="13.15" x14ac:dyDescent="0.4">
      <c r="A46" s="5" t="s">
        <v>91</v>
      </c>
      <c r="B46" s="22">
        <v>100</v>
      </c>
      <c r="C46" s="22">
        <v>100</v>
      </c>
      <c r="D46" s="22">
        <v>100</v>
      </c>
      <c r="E46" s="22">
        <v>100</v>
      </c>
      <c r="F46" s="37">
        <f t="shared" si="10"/>
        <v>100</v>
      </c>
      <c r="G46"/>
      <c r="H46" s="32">
        <v>6</v>
      </c>
    </row>
    <row r="47" spans="1:8" ht="13.15" x14ac:dyDescent="0.4">
      <c r="A47" s="5" t="s">
        <v>92</v>
      </c>
      <c r="B47" s="22">
        <v>100</v>
      </c>
      <c r="C47" s="22">
        <v>100</v>
      </c>
      <c r="D47" s="22">
        <v>100</v>
      </c>
      <c r="E47" s="22">
        <v>100</v>
      </c>
      <c r="F47" s="37">
        <f t="shared" si="10"/>
        <v>100</v>
      </c>
      <c r="G47"/>
      <c r="H47" s="32">
        <v>7</v>
      </c>
    </row>
    <row r="48" spans="1:8" ht="13.15" x14ac:dyDescent="0.4">
      <c r="A48" s="5" t="s">
        <v>93</v>
      </c>
      <c r="B48" s="22">
        <v>100</v>
      </c>
      <c r="C48" s="22">
        <v>100</v>
      </c>
      <c r="D48" s="22">
        <v>100</v>
      </c>
      <c r="E48" s="22">
        <v>100</v>
      </c>
      <c r="F48" s="37">
        <f t="shared" si="10"/>
        <v>100</v>
      </c>
      <c r="G48"/>
      <c r="H48" s="32">
        <v>1</v>
      </c>
    </row>
    <row r="49" spans="1:8" ht="13.15" x14ac:dyDescent="0.4">
      <c r="A49" s="5" t="s">
        <v>94</v>
      </c>
      <c r="B49" s="22">
        <v>100</v>
      </c>
      <c r="C49" s="22">
        <f>28/30*100</f>
        <v>93.333333333333329</v>
      </c>
      <c r="D49" s="22">
        <v>100</v>
      </c>
      <c r="E49" s="22">
        <f>29/30*100</f>
        <v>96.666666666666671</v>
      </c>
      <c r="F49" s="37">
        <f t="shared" si="10"/>
        <v>97.5</v>
      </c>
      <c r="G49"/>
      <c r="H49" s="32">
        <v>2</v>
      </c>
    </row>
    <row r="50" spans="1:8" ht="13.15" x14ac:dyDescent="0.4">
      <c r="A50" s="5" t="s">
        <v>140</v>
      </c>
      <c r="B50" s="22">
        <v>100</v>
      </c>
      <c r="C50" s="22">
        <v>100</v>
      </c>
      <c r="D50" s="22">
        <v>100</v>
      </c>
      <c r="E50" s="22">
        <f>29/30*100</f>
        <v>96.666666666666671</v>
      </c>
      <c r="F50" s="37">
        <f t="shared" si="10"/>
        <v>99.166666666666671</v>
      </c>
      <c r="H50" s="32">
        <v>7</v>
      </c>
    </row>
    <row r="51" spans="1:8" ht="13.15" x14ac:dyDescent="0.4">
      <c r="A51" s="5" t="s">
        <v>95</v>
      </c>
      <c r="B51" s="22">
        <v>100</v>
      </c>
      <c r="C51" s="22">
        <v>100</v>
      </c>
      <c r="D51" s="22">
        <f>29/30*100</f>
        <v>96.666666666666671</v>
      </c>
      <c r="E51" s="22">
        <v>100</v>
      </c>
      <c r="F51" s="37">
        <f t="shared" si="10"/>
        <v>99.166666666666671</v>
      </c>
      <c r="H51" s="32">
        <v>2</v>
      </c>
    </row>
    <row r="52" spans="1:8" ht="13.15" x14ac:dyDescent="0.4">
      <c r="A52" s="5" t="s">
        <v>96</v>
      </c>
      <c r="B52" s="22">
        <v>100</v>
      </c>
      <c r="C52" s="22">
        <v>100</v>
      </c>
      <c r="D52" s="22">
        <v>100</v>
      </c>
      <c r="E52" s="22">
        <f>29/30*100</f>
        <v>96.666666666666671</v>
      </c>
      <c r="F52" s="37">
        <f t="shared" si="10"/>
        <v>99.166666666666671</v>
      </c>
      <c r="H52" s="32">
        <v>2</v>
      </c>
    </row>
    <row r="53" spans="1:8" ht="13.15" x14ac:dyDescent="0.4">
      <c r="A53" s="5" t="s">
        <v>141</v>
      </c>
      <c r="B53" s="22">
        <v>0</v>
      </c>
      <c r="C53" s="22">
        <v>0</v>
      </c>
      <c r="D53" s="22">
        <v>0</v>
      </c>
      <c r="E53" s="22">
        <v>0</v>
      </c>
      <c r="F53" s="37">
        <f t="shared" si="10"/>
        <v>0</v>
      </c>
      <c r="H53" s="32"/>
    </row>
    <row r="54" spans="1:8" ht="13.15" x14ac:dyDescent="0.4">
      <c r="A54" s="5" t="s">
        <v>142</v>
      </c>
      <c r="B54" s="22">
        <v>0</v>
      </c>
      <c r="C54" s="22">
        <v>0</v>
      </c>
      <c r="D54" s="22">
        <v>0</v>
      </c>
      <c r="E54" s="22">
        <v>0</v>
      </c>
      <c r="F54" s="37">
        <f t="shared" si="10"/>
        <v>0</v>
      </c>
      <c r="H54" s="32">
        <v>3</v>
      </c>
    </row>
    <row r="55" spans="1:8" ht="13.15" x14ac:dyDescent="0.4">
      <c r="A55" s="5" t="s">
        <v>143</v>
      </c>
      <c r="B55" s="22">
        <v>0</v>
      </c>
      <c r="C55" s="22">
        <v>0</v>
      </c>
      <c r="D55" s="22">
        <v>0</v>
      </c>
      <c r="E55" s="22">
        <v>0</v>
      </c>
      <c r="F55" s="37">
        <f t="shared" si="10"/>
        <v>0</v>
      </c>
      <c r="H55" s="32">
        <v>3</v>
      </c>
    </row>
    <row r="56" spans="1:8" ht="13.15" x14ac:dyDescent="0.4">
      <c r="A56" s="5" t="s">
        <v>97</v>
      </c>
      <c r="B56" s="22">
        <v>100</v>
      </c>
      <c r="C56" s="22">
        <v>100</v>
      </c>
      <c r="D56" s="22">
        <v>100</v>
      </c>
      <c r="E56" s="22">
        <v>100</v>
      </c>
      <c r="F56" s="37">
        <f t="shared" si="10"/>
        <v>100</v>
      </c>
      <c r="H56" s="32">
        <v>1</v>
      </c>
    </row>
    <row r="57" spans="1:8" ht="13.15" x14ac:dyDescent="0.4">
      <c r="A57" s="5" t="s">
        <v>98</v>
      </c>
      <c r="B57" s="22">
        <v>100</v>
      </c>
      <c r="C57" s="22">
        <v>100</v>
      </c>
      <c r="D57" s="22">
        <v>100</v>
      </c>
      <c r="E57" s="22">
        <v>100</v>
      </c>
      <c r="F57" s="37">
        <f t="shared" si="10"/>
        <v>100</v>
      </c>
      <c r="H57" s="32">
        <v>5</v>
      </c>
    </row>
    <row r="58" spans="1:8" ht="13.15" x14ac:dyDescent="0.4">
      <c r="A58" s="5" t="s">
        <v>144</v>
      </c>
      <c r="B58" s="22">
        <v>100</v>
      </c>
      <c r="C58" s="22">
        <v>100</v>
      </c>
      <c r="D58" s="22">
        <v>100</v>
      </c>
      <c r="E58" s="22">
        <v>100</v>
      </c>
      <c r="F58" s="37">
        <f t="shared" si="10"/>
        <v>100</v>
      </c>
      <c r="H58" s="32">
        <v>4</v>
      </c>
    </row>
    <row r="59" spans="1:8" ht="13.15" x14ac:dyDescent="0.4">
      <c r="A59" s="5" t="s">
        <v>99</v>
      </c>
      <c r="B59" s="22">
        <v>100</v>
      </c>
      <c r="C59" s="22">
        <v>100</v>
      </c>
      <c r="D59" s="22">
        <v>100</v>
      </c>
      <c r="E59" s="22">
        <f>28/30*100</f>
        <v>93.333333333333329</v>
      </c>
      <c r="F59" s="37">
        <f t="shared" si="10"/>
        <v>98.333333333333329</v>
      </c>
      <c r="H59" s="32">
        <v>7</v>
      </c>
    </row>
    <row r="60" spans="1:8" ht="13.15" x14ac:dyDescent="0.4">
      <c r="A60" s="5" t="s">
        <v>100</v>
      </c>
      <c r="B60" s="22">
        <v>100</v>
      </c>
      <c r="C60" s="22">
        <v>100</v>
      </c>
      <c r="D60" s="22">
        <v>100</v>
      </c>
      <c r="E60" s="22">
        <v>100</v>
      </c>
      <c r="F60" s="37">
        <f t="shared" si="10"/>
        <v>100</v>
      </c>
      <c r="H60" s="32">
        <v>6</v>
      </c>
    </row>
    <row r="61" spans="1:8" ht="13.15" x14ac:dyDescent="0.4">
      <c r="A61" s="41"/>
      <c r="B61" s="42"/>
      <c r="C61" s="42"/>
      <c r="D61" s="42"/>
      <c r="E61" s="42"/>
      <c r="F61" s="43"/>
      <c r="H61" s="48"/>
    </row>
    <row r="62" spans="1:8" x14ac:dyDescent="0.35">
      <c r="A62" s="72" t="s">
        <v>74</v>
      </c>
      <c r="B62" s="72"/>
      <c r="C62" s="72"/>
      <c r="D62" s="72"/>
      <c r="E62" s="72"/>
      <c r="F62" s="72"/>
    </row>
    <row r="63" spans="1:8" x14ac:dyDescent="0.35">
      <c r="A63" s="33"/>
      <c r="B63" s="44">
        <v>44053</v>
      </c>
      <c r="C63" s="44">
        <v>44056</v>
      </c>
      <c r="D63" s="44">
        <v>44060</v>
      </c>
      <c r="E63" s="44">
        <v>44063</v>
      </c>
      <c r="F63" s="35" t="s">
        <v>18</v>
      </c>
    </row>
    <row r="64" spans="1:8" ht="13.15" x14ac:dyDescent="0.4">
      <c r="A64" s="5" t="s">
        <v>81</v>
      </c>
      <c r="B64" s="36">
        <v>1</v>
      </c>
      <c r="C64" s="36">
        <v>1</v>
      </c>
      <c r="D64" s="36">
        <v>1</v>
      </c>
      <c r="E64" s="36">
        <v>1</v>
      </c>
      <c r="F64" s="37">
        <f>AVERAGE(B64:E64)*100</f>
        <v>100</v>
      </c>
      <c r="H64" s="32">
        <v>5</v>
      </c>
    </row>
    <row r="65" spans="1:8" ht="13.15" x14ac:dyDescent="0.4">
      <c r="A65" s="5" t="s">
        <v>82</v>
      </c>
      <c r="B65" s="36">
        <v>1</v>
      </c>
      <c r="C65" s="36">
        <v>1</v>
      </c>
      <c r="D65" s="36">
        <v>1</v>
      </c>
      <c r="E65" s="36">
        <v>1</v>
      </c>
      <c r="F65" s="37">
        <f t="shared" ref="F65:F66" si="11">AVERAGE(B65:E65)*100</f>
        <v>100</v>
      </c>
      <c r="H65" s="32">
        <v>6</v>
      </c>
    </row>
    <row r="66" spans="1:8" ht="13.15" x14ac:dyDescent="0.4">
      <c r="A66" s="5" t="s">
        <v>83</v>
      </c>
      <c r="B66" s="36">
        <v>0</v>
      </c>
      <c r="C66" s="36">
        <v>0</v>
      </c>
      <c r="D66" s="36">
        <v>0</v>
      </c>
      <c r="E66" s="36">
        <v>0</v>
      </c>
      <c r="F66" s="37">
        <f t="shared" si="11"/>
        <v>0</v>
      </c>
      <c r="H66" s="32"/>
    </row>
    <row r="67" spans="1:8" ht="13.15" x14ac:dyDescent="0.4">
      <c r="A67" s="5" t="s">
        <v>84</v>
      </c>
      <c r="B67" s="36">
        <v>1</v>
      </c>
      <c r="C67" s="36">
        <v>1</v>
      </c>
      <c r="D67" s="36">
        <v>1</v>
      </c>
      <c r="E67" s="36">
        <v>1</v>
      </c>
      <c r="F67" s="37">
        <f t="shared" ref="F67:F90" si="12">AVERAGE(B67:E67)*100</f>
        <v>100</v>
      </c>
      <c r="H67" s="32">
        <v>2</v>
      </c>
    </row>
    <row r="68" spans="1:8" ht="13.15" x14ac:dyDescent="0.4">
      <c r="A68" s="5" t="s">
        <v>138</v>
      </c>
      <c r="B68" s="36">
        <v>1</v>
      </c>
      <c r="C68" s="36">
        <v>1</v>
      </c>
      <c r="D68" s="36">
        <v>1</v>
      </c>
      <c r="E68" s="36">
        <v>1</v>
      </c>
      <c r="F68" s="37">
        <f t="shared" si="12"/>
        <v>100</v>
      </c>
      <c r="H68" s="32">
        <v>3</v>
      </c>
    </row>
    <row r="69" spans="1:8" ht="13.15" x14ac:dyDescent="0.4">
      <c r="A69" s="5" t="s">
        <v>85</v>
      </c>
      <c r="B69" s="36">
        <v>1</v>
      </c>
      <c r="C69" s="36">
        <v>1</v>
      </c>
      <c r="D69" s="36">
        <v>1</v>
      </c>
      <c r="E69" s="36">
        <v>1</v>
      </c>
      <c r="F69" s="37">
        <f t="shared" si="12"/>
        <v>100</v>
      </c>
      <c r="H69" s="32">
        <v>5</v>
      </c>
    </row>
    <row r="70" spans="1:8" ht="13.15" x14ac:dyDescent="0.4">
      <c r="A70" s="5" t="s">
        <v>86</v>
      </c>
      <c r="B70" s="36">
        <v>1</v>
      </c>
      <c r="C70" s="36">
        <v>1</v>
      </c>
      <c r="D70" s="36">
        <v>1</v>
      </c>
      <c r="E70" s="36">
        <v>1</v>
      </c>
      <c r="F70" s="37">
        <f t="shared" si="12"/>
        <v>100</v>
      </c>
      <c r="H70" s="32">
        <v>1</v>
      </c>
    </row>
    <row r="71" spans="1:8" ht="13.15" x14ac:dyDescent="0.4">
      <c r="A71" s="5" t="s">
        <v>87</v>
      </c>
      <c r="B71" s="36">
        <v>1</v>
      </c>
      <c r="C71" s="36">
        <v>1</v>
      </c>
      <c r="D71" s="36">
        <v>1</v>
      </c>
      <c r="E71" s="36">
        <v>1</v>
      </c>
      <c r="F71" s="37">
        <f t="shared" si="12"/>
        <v>100</v>
      </c>
      <c r="H71" s="32">
        <v>7</v>
      </c>
    </row>
    <row r="72" spans="1:8" ht="13.15" x14ac:dyDescent="0.4">
      <c r="A72" s="5" t="s">
        <v>88</v>
      </c>
      <c r="B72" s="36">
        <v>1</v>
      </c>
      <c r="C72" s="36">
        <v>1</v>
      </c>
      <c r="D72" s="36">
        <v>1</v>
      </c>
      <c r="E72" s="36">
        <v>1</v>
      </c>
      <c r="F72" s="37">
        <f t="shared" si="12"/>
        <v>100</v>
      </c>
      <c r="H72" s="32">
        <v>1</v>
      </c>
    </row>
    <row r="73" spans="1:8" ht="13.15" x14ac:dyDescent="0.4">
      <c r="A73" s="5" t="s">
        <v>139</v>
      </c>
      <c r="B73" s="36">
        <v>1</v>
      </c>
      <c r="C73" s="36">
        <v>1</v>
      </c>
      <c r="D73" s="36">
        <v>1</v>
      </c>
      <c r="E73" s="36">
        <v>1</v>
      </c>
      <c r="F73" s="37">
        <f t="shared" si="12"/>
        <v>100</v>
      </c>
      <c r="H73" s="32">
        <v>4</v>
      </c>
    </row>
    <row r="74" spans="1:8" ht="13.15" x14ac:dyDescent="0.4">
      <c r="A74" s="5" t="s">
        <v>89</v>
      </c>
      <c r="B74" s="36">
        <v>1</v>
      </c>
      <c r="C74" s="36">
        <v>1</v>
      </c>
      <c r="D74" s="36">
        <v>1</v>
      </c>
      <c r="E74" s="36">
        <v>1</v>
      </c>
      <c r="F74" s="37">
        <f t="shared" si="12"/>
        <v>100</v>
      </c>
      <c r="H74" s="32">
        <v>6</v>
      </c>
    </row>
    <row r="75" spans="1:8" ht="13.15" x14ac:dyDescent="0.4">
      <c r="A75" s="5" t="s">
        <v>90</v>
      </c>
      <c r="B75" s="36">
        <v>1</v>
      </c>
      <c r="C75" s="36">
        <v>1</v>
      </c>
      <c r="D75" s="36">
        <v>1</v>
      </c>
      <c r="E75" s="36">
        <v>1</v>
      </c>
      <c r="F75" s="37">
        <f t="shared" si="12"/>
        <v>100</v>
      </c>
      <c r="H75" s="32">
        <v>4</v>
      </c>
    </row>
    <row r="76" spans="1:8" ht="13.15" x14ac:dyDescent="0.4">
      <c r="A76" s="5" t="s">
        <v>91</v>
      </c>
      <c r="B76" s="36">
        <v>1</v>
      </c>
      <c r="C76" s="36">
        <v>1</v>
      </c>
      <c r="D76" s="36">
        <v>1</v>
      </c>
      <c r="E76" s="36">
        <v>1</v>
      </c>
      <c r="F76" s="37">
        <f t="shared" si="12"/>
        <v>100</v>
      </c>
      <c r="H76" s="32">
        <v>6</v>
      </c>
    </row>
    <row r="77" spans="1:8" ht="13.15" x14ac:dyDescent="0.4">
      <c r="A77" s="5" t="s">
        <v>92</v>
      </c>
      <c r="B77" s="36">
        <v>1</v>
      </c>
      <c r="C77" s="36">
        <v>1</v>
      </c>
      <c r="D77" s="36">
        <v>1</v>
      </c>
      <c r="E77" s="36">
        <v>1</v>
      </c>
      <c r="F77" s="37">
        <f t="shared" si="12"/>
        <v>100</v>
      </c>
      <c r="H77" s="32">
        <v>7</v>
      </c>
    </row>
    <row r="78" spans="1:8" ht="13.15" x14ac:dyDescent="0.4">
      <c r="A78" s="5" t="s">
        <v>93</v>
      </c>
      <c r="B78" s="36">
        <v>1</v>
      </c>
      <c r="C78" s="36">
        <v>1</v>
      </c>
      <c r="D78" s="36">
        <v>1</v>
      </c>
      <c r="E78" s="36">
        <v>1</v>
      </c>
      <c r="F78" s="37">
        <f t="shared" si="12"/>
        <v>100</v>
      </c>
      <c r="H78" s="32">
        <v>1</v>
      </c>
    </row>
    <row r="79" spans="1:8" ht="13.15" x14ac:dyDescent="0.4">
      <c r="A79" s="5" t="s">
        <v>94</v>
      </c>
      <c r="B79" s="36">
        <v>1</v>
      </c>
      <c r="C79" s="36">
        <v>1</v>
      </c>
      <c r="D79" s="36">
        <v>1</v>
      </c>
      <c r="E79" s="36">
        <v>1</v>
      </c>
      <c r="F79" s="37">
        <f t="shared" si="12"/>
        <v>100</v>
      </c>
      <c r="H79" s="32">
        <v>2</v>
      </c>
    </row>
    <row r="80" spans="1:8" ht="13.15" x14ac:dyDescent="0.4">
      <c r="A80" s="5" t="s">
        <v>140</v>
      </c>
      <c r="B80" s="36">
        <v>1</v>
      </c>
      <c r="C80" s="36">
        <v>1</v>
      </c>
      <c r="D80" s="36">
        <v>1</v>
      </c>
      <c r="E80" s="36">
        <v>1</v>
      </c>
      <c r="F80" s="37">
        <f t="shared" si="12"/>
        <v>100</v>
      </c>
      <c r="H80" s="32">
        <v>7</v>
      </c>
    </row>
    <row r="81" spans="1:8" ht="13.15" x14ac:dyDescent="0.4">
      <c r="A81" s="5" t="s">
        <v>95</v>
      </c>
      <c r="B81" s="36">
        <v>1</v>
      </c>
      <c r="C81" s="36">
        <v>1</v>
      </c>
      <c r="D81" s="36">
        <v>1</v>
      </c>
      <c r="E81" s="36">
        <v>1</v>
      </c>
      <c r="F81" s="37">
        <f t="shared" si="12"/>
        <v>100</v>
      </c>
      <c r="H81" s="32">
        <v>2</v>
      </c>
    </row>
    <row r="82" spans="1:8" ht="13.15" x14ac:dyDescent="0.4">
      <c r="A82" s="5" t="s">
        <v>96</v>
      </c>
      <c r="B82" s="36">
        <v>1</v>
      </c>
      <c r="C82" s="36">
        <v>1</v>
      </c>
      <c r="D82" s="36">
        <v>1</v>
      </c>
      <c r="E82" s="36">
        <v>1</v>
      </c>
      <c r="F82" s="37">
        <f t="shared" si="12"/>
        <v>100</v>
      </c>
      <c r="H82" s="32">
        <v>2</v>
      </c>
    </row>
    <row r="83" spans="1:8" ht="13.15" x14ac:dyDescent="0.4">
      <c r="A83" s="5" t="s">
        <v>141</v>
      </c>
      <c r="B83" s="36">
        <v>0</v>
      </c>
      <c r="C83" s="36">
        <v>0</v>
      </c>
      <c r="D83" s="36">
        <v>0</v>
      </c>
      <c r="E83" s="36">
        <v>0</v>
      </c>
      <c r="F83" s="37">
        <f t="shared" si="12"/>
        <v>0</v>
      </c>
      <c r="H83" s="32"/>
    </row>
    <row r="84" spans="1:8" ht="13.15" x14ac:dyDescent="0.4">
      <c r="A84" s="5" t="s">
        <v>142</v>
      </c>
      <c r="B84" s="36">
        <v>1</v>
      </c>
      <c r="C84" s="36">
        <v>1</v>
      </c>
      <c r="D84" s="36">
        <v>1</v>
      </c>
      <c r="E84" s="36">
        <v>1</v>
      </c>
      <c r="F84" s="37">
        <f t="shared" si="12"/>
        <v>100</v>
      </c>
      <c r="H84" s="32">
        <v>3</v>
      </c>
    </row>
    <row r="85" spans="1:8" ht="13.15" x14ac:dyDescent="0.4">
      <c r="A85" s="5" t="s">
        <v>143</v>
      </c>
      <c r="B85" s="36">
        <v>1</v>
      </c>
      <c r="C85" s="36">
        <v>1</v>
      </c>
      <c r="D85" s="36">
        <v>1</v>
      </c>
      <c r="E85" s="36">
        <v>1</v>
      </c>
      <c r="F85" s="37">
        <f t="shared" si="12"/>
        <v>100</v>
      </c>
      <c r="H85" s="32">
        <v>3</v>
      </c>
    </row>
    <row r="86" spans="1:8" ht="13.15" x14ac:dyDescent="0.4">
      <c r="A86" s="5" t="s">
        <v>97</v>
      </c>
      <c r="B86" s="36">
        <v>1</v>
      </c>
      <c r="C86" s="36">
        <v>1</v>
      </c>
      <c r="D86" s="36">
        <v>1</v>
      </c>
      <c r="E86" s="36">
        <v>1</v>
      </c>
      <c r="F86" s="37">
        <f t="shared" si="12"/>
        <v>100</v>
      </c>
      <c r="H86" s="32">
        <v>1</v>
      </c>
    </row>
    <row r="87" spans="1:8" ht="13.15" x14ac:dyDescent="0.4">
      <c r="A87" s="5" t="s">
        <v>98</v>
      </c>
      <c r="B87" s="36">
        <v>1</v>
      </c>
      <c r="C87" s="36">
        <v>1</v>
      </c>
      <c r="D87" s="36">
        <v>1</v>
      </c>
      <c r="E87" s="36">
        <v>1</v>
      </c>
      <c r="F87" s="37">
        <f t="shared" si="12"/>
        <v>100</v>
      </c>
      <c r="H87" s="32">
        <v>5</v>
      </c>
    </row>
    <row r="88" spans="1:8" ht="13.15" x14ac:dyDescent="0.4">
      <c r="A88" s="5" t="s">
        <v>144</v>
      </c>
      <c r="B88" s="36">
        <v>1</v>
      </c>
      <c r="C88" s="36">
        <v>1</v>
      </c>
      <c r="D88" s="36">
        <v>1</v>
      </c>
      <c r="E88" s="36">
        <v>1</v>
      </c>
      <c r="F88" s="37">
        <f t="shared" si="12"/>
        <v>100</v>
      </c>
      <c r="H88" s="32">
        <v>4</v>
      </c>
    </row>
    <row r="89" spans="1:8" ht="13.15" x14ac:dyDescent="0.4">
      <c r="A89" s="5" t="s">
        <v>99</v>
      </c>
      <c r="B89" s="36">
        <v>1</v>
      </c>
      <c r="C89" s="36">
        <v>1</v>
      </c>
      <c r="D89" s="36">
        <v>1</v>
      </c>
      <c r="E89" s="36">
        <v>1</v>
      </c>
      <c r="F89" s="37">
        <f t="shared" si="12"/>
        <v>100</v>
      </c>
      <c r="H89" s="32">
        <v>7</v>
      </c>
    </row>
    <row r="90" spans="1:8" ht="13.15" x14ac:dyDescent="0.4">
      <c r="A90" s="5" t="s">
        <v>100</v>
      </c>
      <c r="B90" s="36">
        <v>1</v>
      </c>
      <c r="C90" s="36">
        <v>1</v>
      </c>
      <c r="D90" s="36">
        <v>1</v>
      </c>
      <c r="E90" s="36">
        <v>1</v>
      </c>
      <c r="F90" s="37">
        <f t="shared" si="12"/>
        <v>100</v>
      </c>
      <c r="H90" s="32">
        <v>6</v>
      </c>
    </row>
  </sheetData>
  <sheetProtection selectLockedCells="1" selectUnlockedCells="1"/>
  <mergeCells count="3">
    <mergeCell ref="A1:K1"/>
    <mergeCell ref="A32:F32"/>
    <mergeCell ref="A62:F62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90"/>
  <sheetViews>
    <sheetView workbookViewId="0">
      <pane xSplit="1" ySplit="3" topLeftCell="B4" activePane="bottomRight" state="frozen"/>
      <selection pane="topRight" activeCell="C1" sqref="C1"/>
      <selection pane="bottomLeft" activeCell="A27" sqref="A27"/>
      <selection pane="bottomRight" activeCell="D13" sqref="D13"/>
    </sheetView>
  </sheetViews>
  <sheetFormatPr baseColWidth="10" defaultColWidth="11.3984375" defaultRowHeight="12.75" x14ac:dyDescent="0.35"/>
  <cols>
    <col min="1" max="1" width="7.73046875" style="11" customWidth="1"/>
    <col min="2" max="8" width="10.73046875" style="11" customWidth="1"/>
    <col min="9" max="11" width="15.73046875" style="11" customWidth="1"/>
    <col min="12" max="12" width="15.265625" style="11" bestFit="1" customWidth="1"/>
    <col min="13" max="13" width="16" style="11" bestFit="1" customWidth="1"/>
    <col min="14" max="16" width="11.3984375" style="11"/>
    <col min="17" max="17" width="35.33203125" style="11" bestFit="1" customWidth="1"/>
    <col min="18" max="16384" width="11.3984375" style="11"/>
  </cols>
  <sheetData>
    <row r="1" spans="1:19" ht="15" x14ac:dyDescent="0.4">
      <c r="A1" s="73" t="s">
        <v>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9" ht="13.15" x14ac:dyDescent="0.4">
      <c r="A2" s="12"/>
      <c r="B2" s="13"/>
      <c r="C2" s="14"/>
      <c r="D2" s="14"/>
      <c r="E2" s="14"/>
      <c r="F2" s="14"/>
      <c r="G2" s="14"/>
      <c r="H2" s="14"/>
      <c r="I2" s="14"/>
      <c r="J2" s="17"/>
      <c r="K2" s="17"/>
    </row>
    <row r="3" spans="1:19" x14ac:dyDescent="0.35">
      <c r="A3" s="21" t="s">
        <v>2</v>
      </c>
      <c r="B3" s="21">
        <v>1</v>
      </c>
      <c r="C3" s="21">
        <v>2</v>
      </c>
      <c r="D3" s="21">
        <v>3</v>
      </c>
      <c r="E3" s="21">
        <v>4</v>
      </c>
      <c r="F3" s="21">
        <v>5</v>
      </c>
      <c r="G3" s="21">
        <v>6</v>
      </c>
      <c r="H3" s="21">
        <v>7</v>
      </c>
      <c r="I3" s="21" t="s">
        <v>27</v>
      </c>
      <c r="J3" s="21" t="s">
        <v>29</v>
      </c>
      <c r="K3" s="21" t="s">
        <v>30</v>
      </c>
      <c r="L3" s="45" t="s">
        <v>76</v>
      </c>
      <c r="M3" s="46" t="s">
        <v>77</v>
      </c>
      <c r="Q3" s="15" t="s">
        <v>19</v>
      </c>
      <c r="R3" s="15" t="s">
        <v>20</v>
      </c>
      <c r="S3" s="15" t="s">
        <v>78</v>
      </c>
    </row>
    <row r="4" spans="1:19" ht="13.15" x14ac:dyDescent="0.4">
      <c r="A4" s="5" t="s">
        <v>81</v>
      </c>
      <c r="B4" s="22">
        <v>100</v>
      </c>
      <c r="C4" s="22">
        <v>0</v>
      </c>
      <c r="D4" s="22">
        <v>0</v>
      </c>
      <c r="E4" s="22">
        <v>100</v>
      </c>
      <c r="F4" s="22">
        <v>98</v>
      </c>
      <c r="G4" s="22">
        <v>100</v>
      </c>
      <c r="H4" s="22">
        <f>F64</f>
        <v>100</v>
      </c>
      <c r="I4" s="16">
        <f>B4*0.2+C4*0+D4*0+E4*0.35+F4*0.35+G4*0.05+H4*0.05</f>
        <v>99.3</v>
      </c>
      <c r="J4" s="16">
        <f>C4*0+E4*0.35+F4*0.35+G4*0.05</f>
        <v>74.3</v>
      </c>
      <c r="K4" s="16">
        <f>B4*0.2+D4*0+H4*0.05</f>
        <v>25</v>
      </c>
      <c r="L4" s="47">
        <f>F34</f>
        <v>100</v>
      </c>
      <c r="M4" s="9">
        <f>AVERAGE(L4,I4)</f>
        <v>99.65</v>
      </c>
      <c r="O4" s="32">
        <v>5</v>
      </c>
      <c r="Q4" s="6" t="s">
        <v>31</v>
      </c>
      <c r="R4" s="18">
        <v>20</v>
      </c>
      <c r="S4" s="51">
        <f>R4*10/$R$11/100</f>
        <v>0.02</v>
      </c>
    </row>
    <row r="5" spans="1:19" ht="13.15" x14ac:dyDescent="0.4">
      <c r="A5" s="5" t="s">
        <v>82</v>
      </c>
      <c r="B5" s="22">
        <v>100</v>
      </c>
      <c r="C5" s="22">
        <v>0</v>
      </c>
      <c r="D5" s="22">
        <v>0</v>
      </c>
      <c r="E5" s="22">
        <v>100</v>
      </c>
      <c r="F5" s="22">
        <v>95</v>
      </c>
      <c r="G5" s="22">
        <v>100</v>
      </c>
      <c r="H5" s="22">
        <f t="shared" ref="H5:H30" si="0">F65</f>
        <v>100</v>
      </c>
      <c r="I5" s="16">
        <f t="shared" ref="I5:I30" si="1">B5*0.2+C5*0+D5*0+E5*0.35+F5*0.35+G5*0.05+H5*0.05</f>
        <v>98.25</v>
      </c>
      <c r="J5" s="16">
        <f t="shared" ref="J5:J6" si="2">C5*0.05+E5*0.3+F5*0.3+G5*0.05</f>
        <v>63.5</v>
      </c>
      <c r="K5" s="16">
        <f t="shared" ref="K5:K30" si="3">B5*0.2+D5*0+H5*0.05</f>
        <v>25</v>
      </c>
      <c r="L5" s="47">
        <f t="shared" ref="L5:L6" si="4">F35</f>
        <v>100</v>
      </c>
      <c r="M5" s="9">
        <f t="shared" ref="M5:M6" si="5">AVERAGE(L5,I5)</f>
        <v>99.125</v>
      </c>
      <c r="O5" s="32">
        <v>6</v>
      </c>
      <c r="Q5" s="6" t="s">
        <v>32</v>
      </c>
      <c r="R5" s="18">
        <v>5</v>
      </c>
      <c r="S5" s="51">
        <f t="shared" ref="S5:S10" si="6">R5*10/$R$11/100</f>
        <v>5.0000000000000001E-3</v>
      </c>
    </row>
    <row r="6" spans="1:19" ht="13.15" x14ac:dyDescent="0.4">
      <c r="A6" s="5" t="s">
        <v>83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f t="shared" si="0"/>
        <v>0</v>
      </c>
      <c r="I6" s="16">
        <f t="shared" si="1"/>
        <v>0</v>
      </c>
      <c r="J6" s="16">
        <f t="shared" si="2"/>
        <v>0</v>
      </c>
      <c r="K6" s="16">
        <f t="shared" si="3"/>
        <v>0</v>
      </c>
      <c r="L6" s="47">
        <f t="shared" si="4"/>
        <v>0</v>
      </c>
      <c r="M6" s="9">
        <f t="shared" si="5"/>
        <v>0</v>
      </c>
      <c r="O6" s="32">
        <v>5</v>
      </c>
      <c r="Q6" s="6" t="s">
        <v>33</v>
      </c>
      <c r="R6" s="18">
        <v>5</v>
      </c>
      <c r="S6" s="51">
        <f t="shared" si="6"/>
        <v>5.0000000000000001E-3</v>
      </c>
    </row>
    <row r="7" spans="1:19" ht="13.15" x14ac:dyDescent="0.4">
      <c r="A7" s="5" t="s">
        <v>84</v>
      </c>
      <c r="B7" s="22">
        <v>100</v>
      </c>
      <c r="C7" s="22">
        <v>0</v>
      </c>
      <c r="D7" s="22">
        <v>0</v>
      </c>
      <c r="E7" s="22">
        <v>100</v>
      </c>
      <c r="F7" s="22">
        <v>86</v>
      </c>
      <c r="G7" s="22">
        <v>100</v>
      </c>
      <c r="H7" s="22">
        <f t="shared" si="0"/>
        <v>100</v>
      </c>
      <c r="I7" s="16">
        <f t="shared" si="1"/>
        <v>95.1</v>
      </c>
      <c r="J7" s="16">
        <f t="shared" ref="J7:J30" si="7">C7*0.05+E7*0.3+F7*0.3+G7*0.05</f>
        <v>60.8</v>
      </c>
      <c r="K7" s="16">
        <f t="shared" si="3"/>
        <v>25</v>
      </c>
      <c r="L7" s="47">
        <f t="shared" ref="L7:L30" si="8">F37</f>
        <v>100</v>
      </c>
      <c r="M7" s="9">
        <f t="shared" ref="M7:M30" si="9">AVERAGE(L7,I7)</f>
        <v>97.55</v>
      </c>
      <c r="O7" s="32">
        <v>2</v>
      </c>
      <c r="Q7" s="6" t="s">
        <v>34</v>
      </c>
      <c r="R7" s="18">
        <v>30</v>
      </c>
      <c r="S7" s="51">
        <f t="shared" si="6"/>
        <v>0.03</v>
      </c>
    </row>
    <row r="8" spans="1:19" ht="13.15" x14ac:dyDescent="0.4">
      <c r="A8" s="5" t="s">
        <v>138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f t="shared" si="0"/>
        <v>100</v>
      </c>
      <c r="I8" s="16">
        <f t="shared" si="1"/>
        <v>5</v>
      </c>
      <c r="J8" s="16">
        <f t="shared" si="7"/>
        <v>0</v>
      </c>
      <c r="K8" s="16">
        <f t="shared" si="3"/>
        <v>5</v>
      </c>
      <c r="L8" s="47">
        <f t="shared" si="8"/>
        <v>0</v>
      </c>
      <c r="M8" s="9">
        <f t="shared" si="9"/>
        <v>2.5</v>
      </c>
      <c r="O8" s="32">
        <v>3</v>
      </c>
      <c r="Q8" s="6" t="s">
        <v>35</v>
      </c>
      <c r="R8" s="18">
        <v>30</v>
      </c>
      <c r="S8" s="51">
        <f t="shared" si="6"/>
        <v>0.03</v>
      </c>
    </row>
    <row r="9" spans="1:19" ht="13.15" x14ac:dyDescent="0.4">
      <c r="A9" s="5" t="s">
        <v>85</v>
      </c>
      <c r="B9" s="22">
        <v>100</v>
      </c>
      <c r="C9" s="22">
        <v>0</v>
      </c>
      <c r="D9" s="22">
        <v>0</v>
      </c>
      <c r="E9" s="22">
        <v>100</v>
      </c>
      <c r="F9" s="22">
        <v>98</v>
      </c>
      <c r="G9" s="22">
        <v>100</v>
      </c>
      <c r="H9" s="22">
        <f t="shared" si="0"/>
        <v>100</v>
      </c>
      <c r="I9" s="16">
        <f t="shared" si="1"/>
        <v>99.3</v>
      </c>
      <c r="J9" s="16">
        <f t="shared" si="7"/>
        <v>64.400000000000006</v>
      </c>
      <c r="K9" s="16">
        <f t="shared" si="3"/>
        <v>25</v>
      </c>
      <c r="L9" s="47">
        <f t="shared" si="8"/>
        <v>100</v>
      </c>
      <c r="M9" s="9">
        <f t="shared" si="9"/>
        <v>99.65</v>
      </c>
      <c r="O9" s="32">
        <v>5</v>
      </c>
      <c r="Q9" s="6" t="s">
        <v>36</v>
      </c>
      <c r="R9" s="18">
        <v>5</v>
      </c>
      <c r="S9" s="51">
        <f t="shared" si="6"/>
        <v>5.0000000000000001E-3</v>
      </c>
    </row>
    <row r="10" spans="1:19" ht="13.15" x14ac:dyDescent="0.4">
      <c r="A10" s="5" t="s">
        <v>86</v>
      </c>
      <c r="B10" s="22">
        <v>100</v>
      </c>
      <c r="C10" s="22">
        <v>0</v>
      </c>
      <c r="D10" s="22">
        <v>0</v>
      </c>
      <c r="E10" s="22">
        <v>100</v>
      </c>
      <c r="F10" s="22">
        <v>97</v>
      </c>
      <c r="G10" s="22">
        <v>100</v>
      </c>
      <c r="H10" s="22">
        <f t="shared" si="0"/>
        <v>100</v>
      </c>
      <c r="I10" s="16">
        <f t="shared" si="1"/>
        <v>98.949999999999989</v>
      </c>
      <c r="J10" s="16">
        <f t="shared" si="7"/>
        <v>64.099999999999994</v>
      </c>
      <c r="K10" s="16">
        <f t="shared" si="3"/>
        <v>25</v>
      </c>
      <c r="L10" s="47">
        <f t="shared" si="8"/>
        <v>100</v>
      </c>
      <c r="M10" s="9">
        <f t="shared" si="9"/>
        <v>99.474999999999994</v>
      </c>
      <c r="O10" s="32">
        <v>1</v>
      </c>
      <c r="Q10" s="6" t="s">
        <v>75</v>
      </c>
      <c r="R10" s="18">
        <v>5</v>
      </c>
      <c r="S10" s="51">
        <f t="shared" si="6"/>
        <v>5.0000000000000001E-3</v>
      </c>
    </row>
    <row r="11" spans="1:19" ht="13.15" x14ac:dyDescent="0.4">
      <c r="A11" s="5" t="s">
        <v>87</v>
      </c>
      <c r="B11" s="22">
        <v>100</v>
      </c>
      <c r="C11" s="22">
        <v>0</v>
      </c>
      <c r="D11" s="22">
        <v>0</v>
      </c>
      <c r="E11" s="22">
        <v>100</v>
      </c>
      <c r="F11" s="22">
        <v>88</v>
      </c>
      <c r="G11" s="22">
        <v>100</v>
      </c>
      <c r="H11" s="22">
        <f t="shared" si="0"/>
        <v>100</v>
      </c>
      <c r="I11" s="16">
        <f t="shared" si="1"/>
        <v>95.8</v>
      </c>
      <c r="J11" s="16">
        <f t="shared" si="7"/>
        <v>61.4</v>
      </c>
      <c r="K11" s="16">
        <f t="shared" si="3"/>
        <v>25</v>
      </c>
      <c r="L11" s="47">
        <f t="shared" si="8"/>
        <v>100</v>
      </c>
      <c r="M11" s="9">
        <f t="shared" si="9"/>
        <v>97.9</v>
      </c>
      <c r="O11" s="32">
        <v>7</v>
      </c>
      <c r="Q11" s="19" t="s">
        <v>21</v>
      </c>
      <c r="R11" s="20">
        <f>SUM(R4:R10)</f>
        <v>100</v>
      </c>
      <c r="S11" s="50">
        <f>SUM(S4:S10)</f>
        <v>0.1</v>
      </c>
    </row>
    <row r="12" spans="1:19" ht="13.15" x14ac:dyDescent="0.4">
      <c r="A12" s="5" t="s">
        <v>88</v>
      </c>
      <c r="B12" s="22">
        <v>100</v>
      </c>
      <c r="C12" s="22">
        <v>0</v>
      </c>
      <c r="D12" s="22">
        <v>0</v>
      </c>
      <c r="E12" s="22">
        <v>100</v>
      </c>
      <c r="F12" s="22">
        <v>97</v>
      </c>
      <c r="G12" s="22">
        <v>100</v>
      </c>
      <c r="H12" s="22">
        <f t="shared" si="0"/>
        <v>100</v>
      </c>
      <c r="I12" s="16">
        <f t="shared" si="1"/>
        <v>98.949999999999989</v>
      </c>
      <c r="J12" s="16">
        <f t="shared" si="7"/>
        <v>64.099999999999994</v>
      </c>
      <c r="K12" s="16">
        <f t="shared" si="3"/>
        <v>25</v>
      </c>
      <c r="L12" s="47">
        <f t="shared" si="8"/>
        <v>99.166666666666671</v>
      </c>
      <c r="M12" s="9">
        <f t="shared" si="9"/>
        <v>99.058333333333337</v>
      </c>
      <c r="O12" s="32">
        <v>1</v>
      </c>
    </row>
    <row r="13" spans="1:19" ht="13.15" x14ac:dyDescent="0.4">
      <c r="A13" s="5" t="s">
        <v>139</v>
      </c>
      <c r="B13" s="22">
        <v>100</v>
      </c>
      <c r="C13" s="22">
        <v>0</v>
      </c>
      <c r="D13" s="22">
        <v>0</v>
      </c>
      <c r="E13" s="22">
        <v>100</v>
      </c>
      <c r="F13" s="22">
        <v>94</v>
      </c>
      <c r="G13" s="22">
        <v>100</v>
      </c>
      <c r="H13" s="22">
        <f t="shared" si="0"/>
        <v>100</v>
      </c>
      <c r="I13" s="16">
        <f t="shared" si="1"/>
        <v>97.9</v>
      </c>
      <c r="J13" s="16">
        <f t="shared" si="7"/>
        <v>63.2</v>
      </c>
      <c r="K13" s="16">
        <f t="shared" si="3"/>
        <v>25</v>
      </c>
      <c r="L13" s="47">
        <f t="shared" si="8"/>
        <v>100</v>
      </c>
      <c r="M13" s="9">
        <f t="shared" si="9"/>
        <v>98.95</v>
      </c>
      <c r="O13" s="32">
        <v>4</v>
      </c>
    </row>
    <row r="14" spans="1:19" ht="13.15" x14ac:dyDescent="0.4">
      <c r="A14" s="5" t="s">
        <v>89</v>
      </c>
      <c r="B14" s="22">
        <v>100</v>
      </c>
      <c r="C14" s="22">
        <v>0</v>
      </c>
      <c r="D14" s="22">
        <v>0</v>
      </c>
      <c r="E14" s="22">
        <v>100</v>
      </c>
      <c r="F14" s="22">
        <v>95</v>
      </c>
      <c r="G14" s="22">
        <v>100</v>
      </c>
      <c r="H14" s="22">
        <f t="shared" si="0"/>
        <v>100</v>
      </c>
      <c r="I14" s="16">
        <f t="shared" si="1"/>
        <v>98.25</v>
      </c>
      <c r="J14" s="16">
        <f t="shared" si="7"/>
        <v>63.5</v>
      </c>
      <c r="K14" s="16">
        <f t="shared" si="3"/>
        <v>25</v>
      </c>
      <c r="L14" s="47">
        <f t="shared" si="8"/>
        <v>100</v>
      </c>
      <c r="M14" s="9">
        <f t="shared" si="9"/>
        <v>99.125</v>
      </c>
      <c r="O14" s="32">
        <v>6</v>
      </c>
    </row>
    <row r="15" spans="1:19" ht="13.15" x14ac:dyDescent="0.4">
      <c r="A15" s="5" t="s">
        <v>90</v>
      </c>
      <c r="B15" s="22">
        <v>100</v>
      </c>
      <c r="C15" s="22">
        <v>0</v>
      </c>
      <c r="D15" s="22">
        <v>0</v>
      </c>
      <c r="E15" s="22">
        <v>100</v>
      </c>
      <c r="F15" s="22">
        <v>94</v>
      </c>
      <c r="G15" s="22">
        <v>100</v>
      </c>
      <c r="H15" s="22">
        <f t="shared" si="0"/>
        <v>100</v>
      </c>
      <c r="I15" s="16">
        <f t="shared" si="1"/>
        <v>97.9</v>
      </c>
      <c r="J15" s="16">
        <f t="shared" si="7"/>
        <v>63.2</v>
      </c>
      <c r="K15" s="16">
        <f t="shared" si="3"/>
        <v>25</v>
      </c>
      <c r="L15" s="47">
        <f t="shared" si="8"/>
        <v>100</v>
      </c>
      <c r="M15" s="9">
        <f t="shared" si="9"/>
        <v>98.95</v>
      </c>
      <c r="O15" s="32">
        <v>4</v>
      </c>
    </row>
    <row r="16" spans="1:19" ht="13.15" x14ac:dyDescent="0.4">
      <c r="A16" s="5" t="s">
        <v>91</v>
      </c>
      <c r="B16" s="22">
        <v>100</v>
      </c>
      <c r="C16" s="22">
        <v>0</v>
      </c>
      <c r="D16" s="22">
        <v>0</v>
      </c>
      <c r="E16" s="22">
        <v>100</v>
      </c>
      <c r="F16" s="22">
        <v>95</v>
      </c>
      <c r="G16" s="22">
        <v>100</v>
      </c>
      <c r="H16" s="22">
        <f t="shared" si="0"/>
        <v>100</v>
      </c>
      <c r="I16" s="16">
        <f t="shared" si="1"/>
        <v>98.25</v>
      </c>
      <c r="J16" s="16">
        <f t="shared" si="7"/>
        <v>63.5</v>
      </c>
      <c r="K16" s="16">
        <f t="shared" si="3"/>
        <v>25</v>
      </c>
      <c r="L16" s="47">
        <f t="shared" si="8"/>
        <v>100</v>
      </c>
      <c r="M16" s="9">
        <f t="shared" si="9"/>
        <v>99.125</v>
      </c>
      <c r="O16" s="32">
        <v>6</v>
      </c>
    </row>
    <row r="17" spans="1:15" ht="13.15" x14ac:dyDescent="0.4">
      <c r="A17" s="5" t="s">
        <v>92</v>
      </c>
      <c r="B17" s="22">
        <v>100</v>
      </c>
      <c r="C17" s="22">
        <v>0</v>
      </c>
      <c r="D17" s="22">
        <v>0</v>
      </c>
      <c r="E17" s="22">
        <v>100</v>
      </c>
      <c r="F17" s="22">
        <v>88</v>
      </c>
      <c r="G17" s="22">
        <v>100</v>
      </c>
      <c r="H17" s="22">
        <f t="shared" si="0"/>
        <v>100</v>
      </c>
      <c r="I17" s="16">
        <f t="shared" si="1"/>
        <v>95.8</v>
      </c>
      <c r="J17" s="16">
        <f t="shared" si="7"/>
        <v>61.4</v>
      </c>
      <c r="K17" s="16">
        <f t="shared" si="3"/>
        <v>25</v>
      </c>
      <c r="L17" s="47">
        <f t="shared" si="8"/>
        <v>100</v>
      </c>
      <c r="M17" s="9">
        <f t="shared" si="9"/>
        <v>97.9</v>
      </c>
      <c r="O17" s="32">
        <v>7</v>
      </c>
    </row>
    <row r="18" spans="1:15" ht="13.15" x14ac:dyDescent="0.4">
      <c r="A18" s="5" t="s">
        <v>93</v>
      </c>
      <c r="B18" s="22">
        <v>100</v>
      </c>
      <c r="C18" s="22">
        <v>0</v>
      </c>
      <c r="D18" s="22">
        <v>0</v>
      </c>
      <c r="E18" s="22">
        <v>100</v>
      </c>
      <c r="F18" s="22">
        <v>97</v>
      </c>
      <c r="G18" s="22">
        <v>100</v>
      </c>
      <c r="H18" s="22">
        <f t="shared" si="0"/>
        <v>100</v>
      </c>
      <c r="I18" s="16">
        <f t="shared" si="1"/>
        <v>98.949999999999989</v>
      </c>
      <c r="J18" s="16">
        <f t="shared" si="7"/>
        <v>64.099999999999994</v>
      </c>
      <c r="K18" s="16">
        <f t="shared" si="3"/>
        <v>25</v>
      </c>
      <c r="L18" s="47">
        <f t="shared" si="8"/>
        <v>100</v>
      </c>
      <c r="M18" s="9">
        <f t="shared" si="9"/>
        <v>99.474999999999994</v>
      </c>
      <c r="O18" s="32">
        <v>1</v>
      </c>
    </row>
    <row r="19" spans="1:15" ht="13.15" x14ac:dyDescent="0.4">
      <c r="A19" s="5" t="s">
        <v>94</v>
      </c>
      <c r="B19" s="22">
        <v>100</v>
      </c>
      <c r="C19" s="22">
        <v>0</v>
      </c>
      <c r="D19" s="22">
        <v>0</v>
      </c>
      <c r="E19" s="22">
        <v>100</v>
      </c>
      <c r="F19" s="22">
        <v>86</v>
      </c>
      <c r="G19" s="22">
        <v>100</v>
      </c>
      <c r="H19" s="22">
        <f t="shared" si="0"/>
        <v>100</v>
      </c>
      <c r="I19" s="16">
        <f t="shared" si="1"/>
        <v>95.1</v>
      </c>
      <c r="J19" s="16">
        <f t="shared" si="7"/>
        <v>60.8</v>
      </c>
      <c r="K19" s="16">
        <f t="shared" si="3"/>
        <v>25</v>
      </c>
      <c r="L19" s="47">
        <f t="shared" si="8"/>
        <v>98.333333333333329</v>
      </c>
      <c r="M19" s="9">
        <f t="shared" si="9"/>
        <v>96.716666666666669</v>
      </c>
      <c r="O19" s="32">
        <v>2</v>
      </c>
    </row>
    <row r="20" spans="1:15" ht="13.15" x14ac:dyDescent="0.4">
      <c r="A20" s="5" t="s">
        <v>140</v>
      </c>
      <c r="B20" s="22">
        <v>100</v>
      </c>
      <c r="C20" s="22">
        <v>0</v>
      </c>
      <c r="D20" s="22">
        <v>0</v>
      </c>
      <c r="E20" s="22">
        <v>100</v>
      </c>
      <c r="F20" s="22">
        <v>88</v>
      </c>
      <c r="G20" s="22">
        <v>100</v>
      </c>
      <c r="H20" s="22">
        <f t="shared" si="0"/>
        <v>100</v>
      </c>
      <c r="I20" s="16">
        <f t="shared" si="1"/>
        <v>95.8</v>
      </c>
      <c r="J20" s="16">
        <f t="shared" si="7"/>
        <v>61.4</v>
      </c>
      <c r="K20" s="16">
        <f t="shared" si="3"/>
        <v>25</v>
      </c>
      <c r="L20" s="47">
        <f t="shared" si="8"/>
        <v>100</v>
      </c>
      <c r="M20" s="9">
        <f t="shared" si="9"/>
        <v>97.9</v>
      </c>
      <c r="O20" s="32">
        <v>7</v>
      </c>
    </row>
    <row r="21" spans="1:15" ht="13.15" x14ac:dyDescent="0.4">
      <c r="A21" s="5" t="s">
        <v>95</v>
      </c>
      <c r="B21" s="22">
        <v>100</v>
      </c>
      <c r="C21" s="22">
        <v>0</v>
      </c>
      <c r="D21" s="22">
        <v>0</v>
      </c>
      <c r="E21" s="22">
        <v>100</v>
      </c>
      <c r="F21" s="22">
        <v>86</v>
      </c>
      <c r="G21" s="22">
        <v>100</v>
      </c>
      <c r="H21" s="22">
        <f t="shared" si="0"/>
        <v>100</v>
      </c>
      <c r="I21" s="16">
        <f t="shared" si="1"/>
        <v>95.1</v>
      </c>
      <c r="J21" s="16">
        <f t="shared" si="7"/>
        <v>60.8</v>
      </c>
      <c r="K21" s="16">
        <f t="shared" si="3"/>
        <v>25</v>
      </c>
      <c r="L21" s="47">
        <f t="shared" si="8"/>
        <v>100</v>
      </c>
      <c r="M21" s="9">
        <f t="shared" si="9"/>
        <v>97.55</v>
      </c>
      <c r="O21" s="32">
        <v>2</v>
      </c>
    </row>
    <row r="22" spans="1:15" ht="13.15" x14ac:dyDescent="0.4">
      <c r="A22" s="5" t="s">
        <v>96</v>
      </c>
      <c r="B22" s="22">
        <v>100</v>
      </c>
      <c r="C22" s="22">
        <v>0</v>
      </c>
      <c r="D22" s="22">
        <v>0</v>
      </c>
      <c r="E22" s="22">
        <v>100</v>
      </c>
      <c r="F22" s="22">
        <v>86</v>
      </c>
      <c r="G22" s="22">
        <v>100</v>
      </c>
      <c r="H22" s="22">
        <f t="shared" si="0"/>
        <v>100</v>
      </c>
      <c r="I22" s="16">
        <f t="shared" si="1"/>
        <v>95.1</v>
      </c>
      <c r="J22" s="16">
        <f t="shared" si="7"/>
        <v>60.8</v>
      </c>
      <c r="K22" s="16">
        <f t="shared" si="3"/>
        <v>25</v>
      </c>
      <c r="L22" s="47">
        <f t="shared" si="8"/>
        <v>100</v>
      </c>
      <c r="M22" s="9">
        <f t="shared" si="9"/>
        <v>97.55</v>
      </c>
      <c r="O22" s="32">
        <v>2</v>
      </c>
    </row>
    <row r="23" spans="1:15" ht="13.15" x14ac:dyDescent="0.4">
      <c r="A23" s="5" t="s">
        <v>141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f t="shared" ref="G23" si="10">E93</f>
        <v>0</v>
      </c>
      <c r="H23" s="22">
        <f t="shared" si="0"/>
        <v>0</v>
      </c>
      <c r="I23" s="16">
        <f t="shared" si="1"/>
        <v>0</v>
      </c>
      <c r="J23" s="16">
        <f t="shared" si="7"/>
        <v>0</v>
      </c>
      <c r="K23" s="16">
        <f t="shared" si="3"/>
        <v>0</v>
      </c>
      <c r="L23" s="47">
        <f t="shared" si="8"/>
        <v>0</v>
      </c>
      <c r="M23" s="9">
        <f t="shared" si="9"/>
        <v>0</v>
      </c>
      <c r="O23" s="32"/>
    </row>
    <row r="24" spans="1:15" ht="13.15" x14ac:dyDescent="0.4">
      <c r="A24" s="5" t="s">
        <v>142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 t="shared" si="0"/>
        <v>100</v>
      </c>
      <c r="I24" s="16">
        <f t="shared" si="1"/>
        <v>5</v>
      </c>
      <c r="J24" s="16">
        <f t="shared" si="7"/>
        <v>0</v>
      </c>
      <c r="K24" s="16">
        <f t="shared" si="3"/>
        <v>5</v>
      </c>
      <c r="L24" s="47">
        <f t="shared" si="8"/>
        <v>0</v>
      </c>
      <c r="M24" s="9">
        <f t="shared" si="9"/>
        <v>2.5</v>
      </c>
      <c r="O24" s="32">
        <v>3</v>
      </c>
    </row>
    <row r="25" spans="1:15" ht="13.15" x14ac:dyDescent="0.4">
      <c r="A25" s="5" t="s">
        <v>143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si="0"/>
        <v>100</v>
      </c>
      <c r="I25" s="16">
        <f t="shared" si="1"/>
        <v>5</v>
      </c>
      <c r="J25" s="16">
        <f t="shared" si="7"/>
        <v>0</v>
      </c>
      <c r="K25" s="16">
        <f t="shared" si="3"/>
        <v>5</v>
      </c>
      <c r="L25" s="47">
        <f t="shared" si="8"/>
        <v>0</v>
      </c>
      <c r="M25" s="9">
        <f t="shared" si="9"/>
        <v>2.5</v>
      </c>
      <c r="O25" s="32">
        <v>3</v>
      </c>
    </row>
    <row r="26" spans="1:15" ht="13.15" x14ac:dyDescent="0.4">
      <c r="A26" s="5" t="s">
        <v>97</v>
      </c>
      <c r="B26" s="22">
        <v>100</v>
      </c>
      <c r="C26" s="22">
        <v>0</v>
      </c>
      <c r="D26" s="22">
        <v>0</v>
      </c>
      <c r="E26" s="22">
        <v>100</v>
      </c>
      <c r="F26" s="22">
        <v>97</v>
      </c>
      <c r="G26" s="22">
        <v>100</v>
      </c>
      <c r="H26" s="22">
        <f t="shared" si="0"/>
        <v>100</v>
      </c>
      <c r="I26" s="16">
        <f t="shared" si="1"/>
        <v>98.949999999999989</v>
      </c>
      <c r="J26" s="16">
        <f t="shared" si="7"/>
        <v>64.099999999999994</v>
      </c>
      <c r="K26" s="16">
        <f t="shared" si="3"/>
        <v>25</v>
      </c>
      <c r="L26" s="47">
        <f t="shared" si="8"/>
        <v>100</v>
      </c>
      <c r="M26" s="9">
        <f t="shared" si="9"/>
        <v>99.474999999999994</v>
      </c>
      <c r="O26" s="32">
        <v>1</v>
      </c>
    </row>
    <row r="27" spans="1:15" ht="13.15" x14ac:dyDescent="0.4">
      <c r="A27" s="5" t="s">
        <v>98</v>
      </c>
      <c r="B27" s="22">
        <v>100</v>
      </c>
      <c r="C27" s="22">
        <v>0</v>
      </c>
      <c r="D27" s="22">
        <v>0</v>
      </c>
      <c r="E27" s="22">
        <v>100</v>
      </c>
      <c r="F27" s="22">
        <v>98</v>
      </c>
      <c r="G27" s="22">
        <v>100</v>
      </c>
      <c r="H27" s="22">
        <f t="shared" si="0"/>
        <v>100</v>
      </c>
      <c r="I27" s="16">
        <f t="shared" si="1"/>
        <v>99.3</v>
      </c>
      <c r="J27" s="16">
        <f t="shared" si="7"/>
        <v>64.400000000000006</v>
      </c>
      <c r="K27" s="16">
        <f t="shared" si="3"/>
        <v>25</v>
      </c>
      <c r="L27" s="47">
        <f t="shared" si="8"/>
        <v>100</v>
      </c>
      <c r="M27" s="9">
        <f t="shared" si="9"/>
        <v>99.65</v>
      </c>
      <c r="O27" s="32">
        <v>5</v>
      </c>
    </row>
    <row r="28" spans="1:15" ht="13.15" x14ac:dyDescent="0.4">
      <c r="A28" s="5" t="s">
        <v>144</v>
      </c>
      <c r="B28" s="22">
        <v>100</v>
      </c>
      <c r="C28" s="22">
        <v>0</v>
      </c>
      <c r="D28" s="22">
        <v>0</v>
      </c>
      <c r="E28" s="22">
        <v>100</v>
      </c>
      <c r="F28" s="22">
        <v>94</v>
      </c>
      <c r="G28" s="22">
        <v>100</v>
      </c>
      <c r="H28" s="22">
        <f t="shared" si="0"/>
        <v>100</v>
      </c>
      <c r="I28" s="16">
        <f t="shared" si="1"/>
        <v>97.9</v>
      </c>
      <c r="J28" s="16">
        <f t="shared" si="7"/>
        <v>63.2</v>
      </c>
      <c r="K28" s="16">
        <f t="shared" si="3"/>
        <v>25</v>
      </c>
      <c r="L28" s="47">
        <f t="shared" si="8"/>
        <v>100</v>
      </c>
      <c r="M28" s="9">
        <f t="shared" si="9"/>
        <v>98.95</v>
      </c>
      <c r="O28" s="32">
        <v>4</v>
      </c>
    </row>
    <row r="29" spans="1:15" ht="13.15" x14ac:dyDescent="0.4">
      <c r="A29" s="5" t="s">
        <v>99</v>
      </c>
      <c r="B29" s="22">
        <v>100</v>
      </c>
      <c r="C29" s="22">
        <v>0</v>
      </c>
      <c r="D29" s="22">
        <v>0</v>
      </c>
      <c r="E29" s="22">
        <v>100</v>
      </c>
      <c r="F29" s="22">
        <v>88</v>
      </c>
      <c r="G29" s="22">
        <v>100</v>
      </c>
      <c r="H29" s="22">
        <f t="shared" si="0"/>
        <v>100</v>
      </c>
      <c r="I29" s="16">
        <f t="shared" si="1"/>
        <v>95.8</v>
      </c>
      <c r="J29" s="16">
        <f t="shared" si="7"/>
        <v>61.4</v>
      </c>
      <c r="K29" s="16">
        <f t="shared" si="3"/>
        <v>25</v>
      </c>
      <c r="L29" s="47">
        <f t="shared" si="8"/>
        <v>100</v>
      </c>
      <c r="M29" s="9">
        <f t="shared" si="9"/>
        <v>97.9</v>
      </c>
      <c r="O29" s="32">
        <v>7</v>
      </c>
    </row>
    <row r="30" spans="1:15" ht="13.15" x14ac:dyDescent="0.4">
      <c r="A30" s="5" t="s">
        <v>100</v>
      </c>
      <c r="B30" s="22">
        <v>100</v>
      </c>
      <c r="C30" s="22">
        <v>0</v>
      </c>
      <c r="D30" s="22">
        <v>0</v>
      </c>
      <c r="E30" s="22">
        <v>100</v>
      </c>
      <c r="F30" s="22">
        <v>95</v>
      </c>
      <c r="G30" s="22">
        <v>100</v>
      </c>
      <c r="H30" s="22">
        <f t="shared" si="0"/>
        <v>100</v>
      </c>
      <c r="I30" s="16">
        <f t="shared" si="1"/>
        <v>98.25</v>
      </c>
      <c r="J30" s="16">
        <f t="shared" si="7"/>
        <v>63.5</v>
      </c>
      <c r="K30" s="16">
        <f t="shared" si="3"/>
        <v>25</v>
      </c>
      <c r="L30" s="47">
        <f t="shared" si="8"/>
        <v>100</v>
      </c>
      <c r="M30" s="9">
        <f t="shared" si="9"/>
        <v>99.125</v>
      </c>
      <c r="O30" s="32">
        <v>6</v>
      </c>
    </row>
    <row r="31" spans="1:15" ht="13.15" x14ac:dyDescent="0.35">
      <c r="O31" s="48"/>
    </row>
    <row r="32" spans="1:15" x14ac:dyDescent="0.35">
      <c r="A32" s="72" t="s">
        <v>70</v>
      </c>
      <c r="B32" s="72"/>
      <c r="C32" s="72"/>
      <c r="D32" s="72"/>
      <c r="E32" s="72"/>
      <c r="F32" s="72"/>
      <c r="G32"/>
    </row>
    <row r="33" spans="1:8" x14ac:dyDescent="0.35">
      <c r="A33" s="33"/>
      <c r="B33" s="34" t="s">
        <v>37</v>
      </c>
      <c r="C33" s="34" t="s">
        <v>38</v>
      </c>
      <c r="D33" s="34" t="s">
        <v>42</v>
      </c>
      <c r="E33" s="35" t="s">
        <v>40</v>
      </c>
      <c r="F33" s="35" t="s">
        <v>18</v>
      </c>
      <c r="G33"/>
    </row>
    <row r="34" spans="1:8" ht="13.15" x14ac:dyDescent="0.4">
      <c r="A34" s="5" t="s">
        <v>81</v>
      </c>
      <c r="B34" s="36">
        <v>100</v>
      </c>
      <c r="C34" s="36">
        <v>100</v>
      </c>
      <c r="D34" s="36">
        <v>100</v>
      </c>
      <c r="E34" s="36">
        <v>100</v>
      </c>
      <c r="F34" s="37">
        <f>AVERAGE(B34:E34)</f>
        <v>100</v>
      </c>
      <c r="G34"/>
      <c r="H34" s="32">
        <v>5</v>
      </c>
    </row>
    <row r="35" spans="1:8" ht="13.15" x14ac:dyDescent="0.4">
      <c r="A35" s="5" t="s">
        <v>82</v>
      </c>
      <c r="B35" s="36">
        <v>100</v>
      </c>
      <c r="C35" s="36">
        <v>100</v>
      </c>
      <c r="D35" s="36">
        <v>100</v>
      </c>
      <c r="E35" s="36">
        <v>100</v>
      </c>
      <c r="F35" s="37">
        <f t="shared" ref="F35:F36" si="11">AVERAGE(B35:E35)</f>
        <v>100</v>
      </c>
      <c r="G35"/>
      <c r="H35" s="32">
        <v>6</v>
      </c>
    </row>
    <row r="36" spans="1:8" ht="13.15" x14ac:dyDescent="0.4">
      <c r="A36" s="5" t="s">
        <v>83</v>
      </c>
      <c r="B36" s="36">
        <v>0</v>
      </c>
      <c r="C36" s="36">
        <v>0</v>
      </c>
      <c r="D36" s="36">
        <v>0</v>
      </c>
      <c r="E36" s="36">
        <v>0</v>
      </c>
      <c r="F36" s="37">
        <f t="shared" si="11"/>
        <v>0</v>
      </c>
      <c r="G36"/>
      <c r="H36" s="32">
        <v>5</v>
      </c>
    </row>
    <row r="37" spans="1:8" ht="13.15" x14ac:dyDescent="0.4">
      <c r="A37" s="5" t="s">
        <v>84</v>
      </c>
      <c r="B37" s="36">
        <v>100</v>
      </c>
      <c r="C37" s="36">
        <v>100</v>
      </c>
      <c r="D37" s="36">
        <v>100</v>
      </c>
      <c r="E37" s="36">
        <v>100</v>
      </c>
      <c r="F37" s="37">
        <f t="shared" ref="F37:F60" si="12">AVERAGE(B37:E37)</f>
        <v>100</v>
      </c>
      <c r="G37"/>
      <c r="H37" s="32">
        <v>2</v>
      </c>
    </row>
    <row r="38" spans="1:8" ht="13.15" x14ac:dyDescent="0.4">
      <c r="A38" s="5" t="s">
        <v>138</v>
      </c>
      <c r="B38" s="36">
        <v>0</v>
      </c>
      <c r="C38" s="36">
        <v>0</v>
      </c>
      <c r="D38" s="36">
        <v>0</v>
      </c>
      <c r="E38" s="36">
        <v>0</v>
      </c>
      <c r="F38" s="37">
        <f t="shared" si="12"/>
        <v>0</v>
      </c>
      <c r="G38"/>
      <c r="H38" s="32">
        <v>3</v>
      </c>
    </row>
    <row r="39" spans="1:8" ht="13.15" x14ac:dyDescent="0.4">
      <c r="A39" s="5" t="s">
        <v>85</v>
      </c>
      <c r="B39" s="36">
        <v>100</v>
      </c>
      <c r="C39" s="36">
        <v>100</v>
      </c>
      <c r="D39" s="36">
        <v>100</v>
      </c>
      <c r="E39" s="36">
        <v>100</v>
      </c>
      <c r="F39" s="37">
        <f t="shared" si="12"/>
        <v>100</v>
      </c>
      <c r="G39"/>
      <c r="H39" s="32">
        <v>5</v>
      </c>
    </row>
    <row r="40" spans="1:8" ht="13.15" x14ac:dyDescent="0.4">
      <c r="A40" s="5" t="s">
        <v>86</v>
      </c>
      <c r="B40" s="36">
        <v>100</v>
      </c>
      <c r="C40" s="36">
        <v>100</v>
      </c>
      <c r="D40" s="36">
        <v>100</v>
      </c>
      <c r="E40" s="36">
        <v>100</v>
      </c>
      <c r="F40" s="37">
        <f t="shared" si="12"/>
        <v>100</v>
      </c>
      <c r="G40"/>
      <c r="H40" s="32">
        <v>1</v>
      </c>
    </row>
    <row r="41" spans="1:8" ht="13.15" x14ac:dyDescent="0.4">
      <c r="A41" s="5" t="s">
        <v>87</v>
      </c>
      <c r="B41" s="36">
        <v>100</v>
      </c>
      <c r="C41" s="36">
        <v>100</v>
      </c>
      <c r="D41" s="36">
        <v>100</v>
      </c>
      <c r="E41" s="36">
        <v>100</v>
      </c>
      <c r="F41" s="37">
        <f t="shared" si="12"/>
        <v>100</v>
      </c>
      <c r="G41"/>
      <c r="H41" s="32">
        <v>7</v>
      </c>
    </row>
    <row r="42" spans="1:8" ht="13.15" x14ac:dyDescent="0.4">
      <c r="A42" s="5" t="s">
        <v>88</v>
      </c>
      <c r="B42" s="36">
        <v>100</v>
      </c>
      <c r="C42" s="36">
        <f>29/30*100</f>
        <v>96.666666666666671</v>
      </c>
      <c r="D42" s="36">
        <v>100</v>
      </c>
      <c r="E42" s="36">
        <v>100</v>
      </c>
      <c r="F42" s="37">
        <f t="shared" si="12"/>
        <v>99.166666666666671</v>
      </c>
      <c r="G42"/>
      <c r="H42" s="32">
        <v>1</v>
      </c>
    </row>
    <row r="43" spans="1:8" ht="13.15" x14ac:dyDescent="0.4">
      <c r="A43" s="5" t="s">
        <v>139</v>
      </c>
      <c r="B43" s="36">
        <v>100</v>
      </c>
      <c r="C43" s="36">
        <v>100</v>
      </c>
      <c r="D43" s="36">
        <v>100</v>
      </c>
      <c r="E43" s="36">
        <v>100</v>
      </c>
      <c r="F43" s="37">
        <f t="shared" si="12"/>
        <v>100</v>
      </c>
      <c r="G43"/>
      <c r="H43" s="32">
        <v>4</v>
      </c>
    </row>
    <row r="44" spans="1:8" ht="13.15" x14ac:dyDescent="0.4">
      <c r="A44" s="5" t="s">
        <v>89</v>
      </c>
      <c r="B44" s="36">
        <v>100</v>
      </c>
      <c r="C44" s="36">
        <v>100</v>
      </c>
      <c r="D44" s="36">
        <v>100</v>
      </c>
      <c r="E44" s="36">
        <v>100</v>
      </c>
      <c r="F44" s="37">
        <f t="shared" si="12"/>
        <v>100</v>
      </c>
      <c r="G44"/>
      <c r="H44" s="32">
        <v>6</v>
      </c>
    </row>
    <row r="45" spans="1:8" ht="13.15" x14ac:dyDescent="0.4">
      <c r="A45" s="5" t="s">
        <v>90</v>
      </c>
      <c r="B45" s="36">
        <v>100</v>
      </c>
      <c r="C45" s="36">
        <v>100</v>
      </c>
      <c r="D45" s="36">
        <v>100</v>
      </c>
      <c r="E45" s="36">
        <v>100</v>
      </c>
      <c r="F45" s="37">
        <f t="shared" si="12"/>
        <v>100</v>
      </c>
      <c r="G45"/>
      <c r="H45" s="32">
        <v>4</v>
      </c>
    </row>
    <row r="46" spans="1:8" ht="13.15" x14ac:dyDescent="0.4">
      <c r="A46" s="5" t="s">
        <v>91</v>
      </c>
      <c r="B46" s="36">
        <v>100</v>
      </c>
      <c r="C46" s="36">
        <v>100</v>
      </c>
      <c r="D46" s="36">
        <v>100</v>
      </c>
      <c r="E46" s="36">
        <v>100</v>
      </c>
      <c r="F46" s="37">
        <f t="shared" si="12"/>
        <v>100</v>
      </c>
      <c r="G46"/>
      <c r="H46" s="32">
        <v>6</v>
      </c>
    </row>
    <row r="47" spans="1:8" ht="13.15" x14ac:dyDescent="0.4">
      <c r="A47" s="5" t="s">
        <v>92</v>
      </c>
      <c r="B47" s="36">
        <v>100</v>
      </c>
      <c r="C47" s="36">
        <v>100</v>
      </c>
      <c r="D47" s="36">
        <v>100</v>
      </c>
      <c r="E47" s="36">
        <v>100</v>
      </c>
      <c r="F47" s="37">
        <f t="shared" si="12"/>
        <v>100</v>
      </c>
      <c r="G47"/>
      <c r="H47" s="32">
        <v>7</v>
      </c>
    </row>
    <row r="48" spans="1:8" ht="13.15" x14ac:dyDescent="0.4">
      <c r="A48" s="5" t="s">
        <v>93</v>
      </c>
      <c r="B48" s="36">
        <v>100</v>
      </c>
      <c r="C48" s="36">
        <v>100</v>
      </c>
      <c r="D48" s="36">
        <v>100</v>
      </c>
      <c r="E48" s="36">
        <v>100</v>
      </c>
      <c r="F48" s="37">
        <f t="shared" si="12"/>
        <v>100</v>
      </c>
      <c r="G48"/>
      <c r="H48" s="32">
        <v>1</v>
      </c>
    </row>
    <row r="49" spans="1:8" ht="13.15" x14ac:dyDescent="0.4">
      <c r="A49" s="5" t="s">
        <v>94</v>
      </c>
      <c r="B49" s="36">
        <v>100</v>
      </c>
      <c r="C49" s="36">
        <f>28/30*100</f>
        <v>93.333333333333329</v>
      </c>
      <c r="D49" s="36">
        <v>100</v>
      </c>
      <c r="E49" s="36">
        <v>100</v>
      </c>
      <c r="F49" s="37">
        <f t="shared" si="12"/>
        <v>98.333333333333329</v>
      </c>
      <c r="G49"/>
      <c r="H49" s="32">
        <v>2</v>
      </c>
    </row>
    <row r="50" spans="1:8" ht="13.15" x14ac:dyDescent="0.4">
      <c r="A50" s="5" t="s">
        <v>140</v>
      </c>
      <c r="B50" s="36">
        <v>100</v>
      </c>
      <c r="C50" s="36">
        <v>100</v>
      </c>
      <c r="D50" s="36">
        <v>100</v>
      </c>
      <c r="E50" s="36">
        <v>100</v>
      </c>
      <c r="F50" s="37">
        <f t="shared" si="12"/>
        <v>100</v>
      </c>
      <c r="H50" s="32">
        <v>7</v>
      </c>
    </row>
    <row r="51" spans="1:8" ht="13.15" x14ac:dyDescent="0.4">
      <c r="A51" s="5" t="s">
        <v>95</v>
      </c>
      <c r="B51" s="36">
        <v>100</v>
      </c>
      <c r="C51" s="36">
        <v>100</v>
      </c>
      <c r="D51" s="36">
        <v>100</v>
      </c>
      <c r="E51" s="36">
        <v>100</v>
      </c>
      <c r="F51" s="37">
        <f t="shared" si="12"/>
        <v>100</v>
      </c>
      <c r="H51" s="32">
        <v>2</v>
      </c>
    </row>
    <row r="52" spans="1:8" ht="13.15" x14ac:dyDescent="0.4">
      <c r="A52" s="5" t="s">
        <v>96</v>
      </c>
      <c r="B52" s="36">
        <v>100</v>
      </c>
      <c r="C52" s="36">
        <v>100</v>
      </c>
      <c r="D52" s="36">
        <v>100</v>
      </c>
      <c r="E52" s="36">
        <v>100</v>
      </c>
      <c r="F52" s="37">
        <f t="shared" si="12"/>
        <v>100</v>
      </c>
      <c r="H52" s="32">
        <v>2</v>
      </c>
    </row>
    <row r="53" spans="1:8" ht="13.15" x14ac:dyDescent="0.4">
      <c r="A53" s="5" t="s">
        <v>141</v>
      </c>
      <c r="B53" s="36">
        <v>0</v>
      </c>
      <c r="C53" s="36">
        <v>0</v>
      </c>
      <c r="D53" s="36">
        <v>0</v>
      </c>
      <c r="E53" s="36">
        <v>0</v>
      </c>
      <c r="F53" s="37">
        <f t="shared" si="12"/>
        <v>0</v>
      </c>
      <c r="H53" s="32"/>
    </row>
    <row r="54" spans="1:8" ht="13.15" x14ac:dyDescent="0.4">
      <c r="A54" s="5" t="s">
        <v>142</v>
      </c>
      <c r="B54" s="36">
        <v>0</v>
      </c>
      <c r="C54" s="36">
        <v>0</v>
      </c>
      <c r="D54" s="36">
        <v>0</v>
      </c>
      <c r="E54" s="36">
        <v>0</v>
      </c>
      <c r="F54" s="37">
        <f t="shared" si="12"/>
        <v>0</v>
      </c>
      <c r="H54" s="32">
        <v>3</v>
      </c>
    </row>
    <row r="55" spans="1:8" ht="13.15" x14ac:dyDescent="0.4">
      <c r="A55" s="5" t="s">
        <v>143</v>
      </c>
      <c r="B55" s="36">
        <v>0</v>
      </c>
      <c r="C55" s="36">
        <v>0</v>
      </c>
      <c r="D55" s="36">
        <v>0</v>
      </c>
      <c r="E55" s="36">
        <v>0</v>
      </c>
      <c r="F55" s="37">
        <f t="shared" si="12"/>
        <v>0</v>
      </c>
      <c r="H55" s="32">
        <v>3</v>
      </c>
    </row>
    <row r="56" spans="1:8" ht="13.15" x14ac:dyDescent="0.4">
      <c r="A56" s="5" t="s">
        <v>97</v>
      </c>
      <c r="B56" s="36">
        <v>100</v>
      </c>
      <c r="C56" s="36">
        <v>100</v>
      </c>
      <c r="D56" s="36">
        <v>100</v>
      </c>
      <c r="E56" s="36">
        <v>100</v>
      </c>
      <c r="F56" s="37">
        <f t="shared" si="12"/>
        <v>100</v>
      </c>
      <c r="H56" s="32">
        <v>1</v>
      </c>
    </row>
    <row r="57" spans="1:8" ht="13.15" x14ac:dyDescent="0.4">
      <c r="A57" s="5" t="s">
        <v>98</v>
      </c>
      <c r="B57" s="36">
        <v>100</v>
      </c>
      <c r="C57" s="36">
        <v>100</v>
      </c>
      <c r="D57" s="36">
        <v>100</v>
      </c>
      <c r="E57" s="36">
        <v>100</v>
      </c>
      <c r="F57" s="37">
        <f t="shared" si="12"/>
        <v>100</v>
      </c>
      <c r="H57" s="32">
        <v>5</v>
      </c>
    </row>
    <row r="58" spans="1:8" ht="13.15" x14ac:dyDescent="0.4">
      <c r="A58" s="5" t="s">
        <v>144</v>
      </c>
      <c r="B58" s="36">
        <v>100</v>
      </c>
      <c r="C58" s="36">
        <v>100</v>
      </c>
      <c r="D58" s="36">
        <v>100</v>
      </c>
      <c r="E58" s="36">
        <v>100</v>
      </c>
      <c r="F58" s="37">
        <f t="shared" si="12"/>
        <v>100</v>
      </c>
      <c r="H58" s="32">
        <v>4</v>
      </c>
    </row>
    <row r="59" spans="1:8" ht="13.15" x14ac:dyDescent="0.4">
      <c r="A59" s="5" t="s">
        <v>99</v>
      </c>
      <c r="B59" s="36">
        <v>100</v>
      </c>
      <c r="C59" s="36">
        <v>100</v>
      </c>
      <c r="D59" s="36">
        <v>100</v>
      </c>
      <c r="E59" s="36">
        <v>100</v>
      </c>
      <c r="F59" s="37">
        <f t="shared" si="12"/>
        <v>100</v>
      </c>
      <c r="H59" s="32">
        <v>7</v>
      </c>
    </row>
    <row r="60" spans="1:8" ht="13.15" x14ac:dyDescent="0.4">
      <c r="A60" s="5" t="s">
        <v>100</v>
      </c>
      <c r="B60" s="36">
        <v>100</v>
      </c>
      <c r="C60" s="36">
        <v>100</v>
      </c>
      <c r="D60" s="36">
        <v>100</v>
      </c>
      <c r="E60" s="36">
        <v>100</v>
      </c>
      <c r="F60" s="37">
        <f t="shared" si="12"/>
        <v>100</v>
      </c>
      <c r="H60" s="32">
        <v>6</v>
      </c>
    </row>
    <row r="61" spans="1:8" ht="13.15" x14ac:dyDescent="0.4">
      <c r="A61" s="41"/>
      <c r="B61" s="42"/>
      <c r="C61" s="42"/>
      <c r="D61" s="42"/>
      <c r="E61" s="42"/>
      <c r="F61" s="43"/>
      <c r="H61" s="48"/>
    </row>
    <row r="62" spans="1:8" x14ac:dyDescent="0.35">
      <c r="A62" s="72" t="s">
        <v>74</v>
      </c>
      <c r="B62" s="72"/>
      <c r="C62" s="72"/>
      <c r="D62" s="72"/>
      <c r="E62" s="72"/>
      <c r="F62" s="72"/>
    </row>
    <row r="63" spans="1:8" x14ac:dyDescent="0.35">
      <c r="A63" s="33"/>
      <c r="B63" s="44">
        <v>44074</v>
      </c>
      <c r="C63" s="44">
        <v>44077</v>
      </c>
      <c r="D63" s="44">
        <v>44081</v>
      </c>
      <c r="E63" s="44">
        <v>44084</v>
      </c>
      <c r="F63" s="35" t="s">
        <v>18</v>
      </c>
    </row>
    <row r="64" spans="1:8" ht="13.15" x14ac:dyDescent="0.4">
      <c r="A64" s="5" t="s">
        <v>81</v>
      </c>
      <c r="B64" s="36">
        <v>1</v>
      </c>
      <c r="C64" s="36">
        <v>1</v>
      </c>
      <c r="D64" s="36">
        <v>1</v>
      </c>
      <c r="E64" s="36">
        <v>1</v>
      </c>
      <c r="F64" s="37">
        <f>AVERAGE(B64:E64)*100</f>
        <v>100</v>
      </c>
      <c r="H64" s="32">
        <v>5</v>
      </c>
    </row>
    <row r="65" spans="1:8" ht="13.15" x14ac:dyDescent="0.4">
      <c r="A65" s="5" t="s">
        <v>82</v>
      </c>
      <c r="B65" s="36">
        <v>1</v>
      </c>
      <c r="C65" s="36">
        <v>1</v>
      </c>
      <c r="D65" s="36">
        <v>1</v>
      </c>
      <c r="E65" s="36">
        <v>1</v>
      </c>
      <c r="F65" s="37">
        <f t="shared" ref="F65:F66" si="13">AVERAGE(B65:E65)*100</f>
        <v>100</v>
      </c>
      <c r="H65" s="32">
        <v>6</v>
      </c>
    </row>
    <row r="66" spans="1:8" ht="13.15" x14ac:dyDescent="0.4">
      <c r="A66" s="5" t="s">
        <v>83</v>
      </c>
      <c r="B66" s="36">
        <v>0</v>
      </c>
      <c r="C66" s="36">
        <v>0</v>
      </c>
      <c r="D66" s="36">
        <v>0</v>
      </c>
      <c r="E66" s="36">
        <v>0</v>
      </c>
      <c r="F66" s="37">
        <f t="shared" si="13"/>
        <v>0</v>
      </c>
      <c r="H66" s="32">
        <v>5</v>
      </c>
    </row>
    <row r="67" spans="1:8" ht="13.15" x14ac:dyDescent="0.4">
      <c r="A67" s="5" t="s">
        <v>84</v>
      </c>
      <c r="B67" s="36">
        <v>1</v>
      </c>
      <c r="C67" s="36">
        <v>1</v>
      </c>
      <c r="D67" s="36">
        <v>1</v>
      </c>
      <c r="E67" s="36">
        <v>1</v>
      </c>
      <c r="F67" s="37">
        <f t="shared" ref="F67:F90" si="14">AVERAGE(B67:E67)*100</f>
        <v>100</v>
      </c>
      <c r="H67" s="32">
        <v>2</v>
      </c>
    </row>
    <row r="68" spans="1:8" ht="13.15" x14ac:dyDescent="0.4">
      <c r="A68" s="5" t="s">
        <v>138</v>
      </c>
      <c r="B68" s="36">
        <v>1</v>
      </c>
      <c r="C68" s="36">
        <v>1</v>
      </c>
      <c r="D68" s="36">
        <v>1</v>
      </c>
      <c r="E68" s="36">
        <v>1</v>
      </c>
      <c r="F68" s="37">
        <f t="shared" si="14"/>
        <v>100</v>
      </c>
      <c r="H68" s="32">
        <v>3</v>
      </c>
    </row>
    <row r="69" spans="1:8" ht="13.15" x14ac:dyDescent="0.4">
      <c r="A69" s="5" t="s">
        <v>85</v>
      </c>
      <c r="B69" s="36">
        <v>1</v>
      </c>
      <c r="C69" s="36">
        <v>1</v>
      </c>
      <c r="D69" s="36">
        <v>1</v>
      </c>
      <c r="E69" s="36">
        <v>1</v>
      </c>
      <c r="F69" s="37">
        <f t="shared" si="14"/>
        <v>100</v>
      </c>
      <c r="H69" s="32">
        <v>5</v>
      </c>
    </row>
    <row r="70" spans="1:8" ht="13.15" x14ac:dyDescent="0.4">
      <c r="A70" s="5" t="s">
        <v>86</v>
      </c>
      <c r="B70" s="36">
        <v>1</v>
      </c>
      <c r="C70" s="36">
        <v>1</v>
      </c>
      <c r="D70" s="36">
        <v>1</v>
      </c>
      <c r="E70" s="36">
        <v>1</v>
      </c>
      <c r="F70" s="37">
        <f t="shared" si="14"/>
        <v>100</v>
      </c>
      <c r="H70" s="32">
        <v>1</v>
      </c>
    </row>
    <row r="71" spans="1:8" ht="13.15" x14ac:dyDescent="0.4">
      <c r="A71" s="5" t="s">
        <v>87</v>
      </c>
      <c r="B71" s="36">
        <v>1</v>
      </c>
      <c r="C71" s="36">
        <v>1</v>
      </c>
      <c r="D71" s="36">
        <v>1</v>
      </c>
      <c r="E71" s="36">
        <v>1</v>
      </c>
      <c r="F71" s="37">
        <f t="shared" si="14"/>
        <v>100</v>
      </c>
      <c r="H71" s="32">
        <v>7</v>
      </c>
    </row>
    <row r="72" spans="1:8" ht="13.15" x14ac:dyDescent="0.4">
      <c r="A72" s="5" t="s">
        <v>88</v>
      </c>
      <c r="B72" s="36">
        <v>1</v>
      </c>
      <c r="C72" s="36">
        <v>1</v>
      </c>
      <c r="D72" s="36">
        <v>1</v>
      </c>
      <c r="E72" s="36">
        <v>1</v>
      </c>
      <c r="F72" s="37">
        <f t="shared" si="14"/>
        <v>100</v>
      </c>
      <c r="H72" s="32">
        <v>1</v>
      </c>
    </row>
    <row r="73" spans="1:8" ht="13.15" x14ac:dyDescent="0.4">
      <c r="A73" s="5" t="s">
        <v>139</v>
      </c>
      <c r="B73" s="36">
        <v>1</v>
      </c>
      <c r="C73" s="36">
        <v>1</v>
      </c>
      <c r="D73" s="36">
        <v>1</v>
      </c>
      <c r="E73" s="36">
        <v>1</v>
      </c>
      <c r="F73" s="37">
        <f t="shared" si="14"/>
        <v>100</v>
      </c>
      <c r="H73" s="32">
        <v>4</v>
      </c>
    </row>
    <row r="74" spans="1:8" ht="13.15" x14ac:dyDescent="0.4">
      <c r="A74" s="5" t="s">
        <v>89</v>
      </c>
      <c r="B74" s="36">
        <v>1</v>
      </c>
      <c r="C74" s="36">
        <v>1</v>
      </c>
      <c r="D74" s="36">
        <v>1</v>
      </c>
      <c r="E74" s="36">
        <v>1</v>
      </c>
      <c r="F74" s="37">
        <f t="shared" si="14"/>
        <v>100</v>
      </c>
      <c r="H74" s="32">
        <v>6</v>
      </c>
    </row>
    <row r="75" spans="1:8" ht="13.15" x14ac:dyDescent="0.4">
      <c r="A75" s="5" t="s">
        <v>90</v>
      </c>
      <c r="B75" s="36">
        <v>1</v>
      </c>
      <c r="C75" s="36">
        <v>1</v>
      </c>
      <c r="D75" s="36">
        <v>1</v>
      </c>
      <c r="E75" s="36">
        <v>1</v>
      </c>
      <c r="F75" s="37">
        <f t="shared" si="14"/>
        <v>100</v>
      </c>
      <c r="H75" s="32">
        <v>4</v>
      </c>
    </row>
    <row r="76" spans="1:8" ht="13.15" x14ac:dyDescent="0.4">
      <c r="A76" s="5" t="s">
        <v>91</v>
      </c>
      <c r="B76" s="36">
        <v>1</v>
      </c>
      <c r="C76" s="36">
        <v>1</v>
      </c>
      <c r="D76" s="36">
        <v>1</v>
      </c>
      <c r="E76" s="36">
        <v>1</v>
      </c>
      <c r="F76" s="37">
        <f t="shared" si="14"/>
        <v>100</v>
      </c>
      <c r="H76" s="32">
        <v>6</v>
      </c>
    </row>
    <row r="77" spans="1:8" ht="13.15" x14ac:dyDescent="0.4">
      <c r="A77" s="5" t="s">
        <v>92</v>
      </c>
      <c r="B77" s="36">
        <v>1</v>
      </c>
      <c r="C77" s="36">
        <v>1</v>
      </c>
      <c r="D77" s="36">
        <v>1</v>
      </c>
      <c r="E77" s="36">
        <v>1</v>
      </c>
      <c r="F77" s="37">
        <f t="shared" si="14"/>
        <v>100</v>
      </c>
      <c r="H77" s="32">
        <v>7</v>
      </c>
    </row>
    <row r="78" spans="1:8" ht="13.15" x14ac:dyDescent="0.4">
      <c r="A78" s="5" t="s">
        <v>93</v>
      </c>
      <c r="B78" s="36">
        <v>1</v>
      </c>
      <c r="C78" s="36">
        <v>1</v>
      </c>
      <c r="D78" s="36">
        <v>1</v>
      </c>
      <c r="E78" s="36">
        <v>1</v>
      </c>
      <c r="F78" s="37">
        <f t="shared" si="14"/>
        <v>100</v>
      </c>
      <c r="H78" s="32">
        <v>1</v>
      </c>
    </row>
    <row r="79" spans="1:8" ht="13.15" x14ac:dyDescent="0.4">
      <c r="A79" s="5" t="s">
        <v>94</v>
      </c>
      <c r="B79" s="36">
        <v>1</v>
      </c>
      <c r="C79" s="36">
        <v>1</v>
      </c>
      <c r="D79" s="36">
        <v>1</v>
      </c>
      <c r="E79" s="36">
        <v>1</v>
      </c>
      <c r="F79" s="37">
        <f t="shared" si="14"/>
        <v>100</v>
      </c>
      <c r="H79" s="32">
        <v>2</v>
      </c>
    </row>
    <row r="80" spans="1:8" ht="13.15" x14ac:dyDescent="0.4">
      <c r="A80" s="5" t="s">
        <v>140</v>
      </c>
      <c r="B80" s="36">
        <v>1</v>
      </c>
      <c r="C80" s="36">
        <v>1</v>
      </c>
      <c r="D80" s="36">
        <v>1</v>
      </c>
      <c r="E80" s="36">
        <v>1</v>
      </c>
      <c r="F80" s="37">
        <f t="shared" si="14"/>
        <v>100</v>
      </c>
      <c r="H80" s="32">
        <v>7</v>
      </c>
    </row>
    <row r="81" spans="1:8" ht="13.15" x14ac:dyDescent="0.4">
      <c r="A81" s="5" t="s">
        <v>95</v>
      </c>
      <c r="B81" s="36">
        <v>1</v>
      </c>
      <c r="C81" s="36">
        <v>1</v>
      </c>
      <c r="D81" s="36">
        <v>1</v>
      </c>
      <c r="E81" s="36">
        <v>1</v>
      </c>
      <c r="F81" s="37">
        <f t="shared" si="14"/>
        <v>100</v>
      </c>
      <c r="H81" s="32">
        <v>2</v>
      </c>
    </row>
    <row r="82" spans="1:8" ht="13.15" x14ac:dyDescent="0.4">
      <c r="A82" s="5" t="s">
        <v>96</v>
      </c>
      <c r="B82" s="36">
        <v>1</v>
      </c>
      <c r="C82" s="36">
        <v>1</v>
      </c>
      <c r="D82" s="36">
        <v>1</v>
      </c>
      <c r="E82" s="36">
        <v>1</v>
      </c>
      <c r="F82" s="37">
        <f t="shared" si="14"/>
        <v>100</v>
      </c>
      <c r="H82" s="32">
        <v>2</v>
      </c>
    </row>
    <row r="83" spans="1:8" ht="13.15" x14ac:dyDescent="0.4">
      <c r="A83" s="5" t="s">
        <v>141</v>
      </c>
      <c r="B83" s="36">
        <v>0</v>
      </c>
      <c r="C83" s="36">
        <v>0</v>
      </c>
      <c r="D83" s="36">
        <v>0</v>
      </c>
      <c r="E83" s="36">
        <v>0</v>
      </c>
      <c r="F83" s="37">
        <f t="shared" si="14"/>
        <v>0</v>
      </c>
      <c r="H83" s="32"/>
    </row>
    <row r="84" spans="1:8" ht="13.15" x14ac:dyDescent="0.4">
      <c r="A84" s="5" t="s">
        <v>142</v>
      </c>
      <c r="B84" s="36">
        <v>1</v>
      </c>
      <c r="C84" s="36">
        <v>1</v>
      </c>
      <c r="D84" s="36">
        <v>1</v>
      </c>
      <c r="E84" s="36">
        <v>1</v>
      </c>
      <c r="F84" s="37">
        <f t="shared" si="14"/>
        <v>100</v>
      </c>
      <c r="H84" s="32">
        <v>3</v>
      </c>
    </row>
    <row r="85" spans="1:8" ht="13.15" x14ac:dyDescent="0.4">
      <c r="A85" s="5" t="s">
        <v>143</v>
      </c>
      <c r="B85" s="36">
        <v>1</v>
      </c>
      <c r="C85" s="36">
        <v>1</v>
      </c>
      <c r="D85" s="36">
        <v>1</v>
      </c>
      <c r="E85" s="36">
        <v>1</v>
      </c>
      <c r="F85" s="37">
        <f t="shared" si="14"/>
        <v>100</v>
      </c>
      <c r="H85" s="32">
        <v>3</v>
      </c>
    </row>
    <row r="86" spans="1:8" ht="13.15" x14ac:dyDescent="0.4">
      <c r="A86" s="5" t="s">
        <v>97</v>
      </c>
      <c r="B86" s="36">
        <v>1</v>
      </c>
      <c r="C86" s="36">
        <v>1</v>
      </c>
      <c r="D86" s="36">
        <v>1</v>
      </c>
      <c r="E86" s="36">
        <v>1</v>
      </c>
      <c r="F86" s="37">
        <f t="shared" si="14"/>
        <v>100</v>
      </c>
      <c r="H86" s="32">
        <v>1</v>
      </c>
    </row>
    <row r="87" spans="1:8" ht="13.15" x14ac:dyDescent="0.4">
      <c r="A87" s="5" t="s">
        <v>98</v>
      </c>
      <c r="B87" s="36">
        <v>1</v>
      </c>
      <c r="C87" s="36">
        <v>1</v>
      </c>
      <c r="D87" s="36">
        <v>1</v>
      </c>
      <c r="E87" s="36">
        <v>1</v>
      </c>
      <c r="F87" s="37">
        <f t="shared" si="14"/>
        <v>100</v>
      </c>
      <c r="H87" s="32">
        <v>5</v>
      </c>
    </row>
    <row r="88" spans="1:8" ht="13.15" x14ac:dyDescent="0.4">
      <c r="A88" s="5" t="s">
        <v>144</v>
      </c>
      <c r="B88" s="36">
        <v>1</v>
      </c>
      <c r="C88" s="36">
        <v>1</v>
      </c>
      <c r="D88" s="36">
        <v>1</v>
      </c>
      <c r="E88" s="36">
        <v>1</v>
      </c>
      <c r="F88" s="37">
        <f t="shared" si="14"/>
        <v>100</v>
      </c>
      <c r="H88" s="32">
        <v>4</v>
      </c>
    </row>
    <row r="89" spans="1:8" ht="13.15" x14ac:dyDescent="0.4">
      <c r="A89" s="5" t="s">
        <v>99</v>
      </c>
      <c r="B89" s="36">
        <v>1</v>
      </c>
      <c r="C89" s="36">
        <v>1</v>
      </c>
      <c r="D89" s="36">
        <v>1</v>
      </c>
      <c r="E89" s="36">
        <v>1</v>
      </c>
      <c r="F89" s="37">
        <f t="shared" si="14"/>
        <v>100</v>
      </c>
      <c r="H89" s="32">
        <v>7</v>
      </c>
    </row>
    <row r="90" spans="1:8" ht="13.15" x14ac:dyDescent="0.4">
      <c r="A90" s="5" t="s">
        <v>100</v>
      </c>
      <c r="B90" s="36">
        <v>1</v>
      </c>
      <c r="C90" s="36">
        <v>1</v>
      </c>
      <c r="D90" s="36">
        <v>1</v>
      </c>
      <c r="E90" s="36">
        <v>1</v>
      </c>
      <c r="F90" s="37">
        <f t="shared" si="14"/>
        <v>100</v>
      </c>
      <c r="H90" s="32">
        <v>6</v>
      </c>
    </row>
  </sheetData>
  <sheetProtection selectLockedCells="1" selectUnlockedCells="1"/>
  <mergeCells count="3">
    <mergeCell ref="A1:K1"/>
    <mergeCell ref="A32:F32"/>
    <mergeCell ref="A62:F62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90"/>
  <sheetViews>
    <sheetView workbookViewId="0">
      <pane xSplit="1" ySplit="3" topLeftCell="B4" activePane="bottomRight" state="frozen"/>
      <selection pane="topRight" activeCell="C1" sqref="C1"/>
      <selection pane="bottomLeft" activeCell="A27" sqref="A27"/>
      <selection pane="bottomRight" activeCell="E68" sqref="E68"/>
    </sheetView>
  </sheetViews>
  <sheetFormatPr baseColWidth="10" defaultColWidth="11.3984375" defaultRowHeight="12.75" x14ac:dyDescent="0.35"/>
  <cols>
    <col min="1" max="1" width="7.73046875" style="11" customWidth="1"/>
    <col min="2" max="8" width="10.73046875" style="11" customWidth="1"/>
    <col min="9" max="11" width="15.73046875" style="11" customWidth="1"/>
    <col min="12" max="12" width="15.265625" style="11" bestFit="1" customWidth="1"/>
    <col min="13" max="13" width="16" style="11" bestFit="1" customWidth="1"/>
    <col min="14" max="16" width="11.3984375" style="11"/>
    <col min="17" max="17" width="35.33203125" style="11" bestFit="1" customWidth="1"/>
    <col min="18" max="16384" width="11.3984375" style="11"/>
  </cols>
  <sheetData>
    <row r="1" spans="1:19" ht="15" x14ac:dyDescent="0.4">
      <c r="A1" s="73" t="s">
        <v>41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9" ht="13.15" x14ac:dyDescent="0.4">
      <c r="A2" s="12"/>
      <c r="B2" s="13"/>
      <c r="C2" s="14"/>
      <c r="D2" s="14"/>
      <c r="E2" s="14"/>
      <c r="F2" s="14"/>
      <c r="G2" s="14"/>
      <c r="H2" s="14"/>
      <c r="I2" s="14"/>
      <c r="J2" s="17"/>
      <c r="K2" s="17"/>
    </row>
    <row r="3" spans="1:19" x14ac:dyDescent="0.35">
      <c r="A3" s="21" t="s">
        <v>2</v>
      </c>
      <c r="B3" s="21">
        <v>1</v>
      </c>
      <c r="C3" s="21">
        <v>2</v>
      </c>
      <c r="D3" s="21">
        <v>3</v>
      </c>
      <c r="E3" s="21">
        <v>4</v>
      </c>
      <c r="F3" s="21">
        <v>5</v>
      </c>
      <c r="G3" s="21">
        <v>6</v>
      </c>
      <c r="H3" s="21">
        <v>7</v>
      </c>
      <c r="I3" s="21" t="s">
        <v>27</v>
      </c>
      <c r="J3" s="21" t="s">
        <v>29</v>
      </c>
      <c r="K3" s="21" t="s">
        <v>30</v>
      </c>
      <c r="L3" s="45" t="s">
        <v>76</v>
      </c>
      <c r="M3" s="46" t="s">
        <v>77</v>
      </c>
      <c r="Q3" s="15" t="s">
        <v>19</v>
      </c>
      <c r="R3" s="15" t="s">
        <v>20</v>
      </c>
      <c r="S3" s="15" t="s">
        <v>78</v>
      </c>
    </row>
    <row r="4" spans="1:19" ht="13.15" x14ac:dyDescent="0.4">
      <c r="A4" s="5" t="s">
        <v>81</v>
      </c>
      <c r="B4" s="22">
        <v>100</v>
      </c>
      <c r="C4" s="22">
        <v>0</v>
      </c>
      <c r="D4" s="22">
        <v>0</v>
      </c>
      <c r="E4" s="22">
        <v>100</v>
      </c>
      <c r="F4" s="22">
        <v>99</v>
      </c>
      <c r="G4" s="22">
        <v>100</v>
      </c>
      <c r="H4" s="22">
        <f>L64</f>
        <v>100</v>
      </c>
      <c r="I4" s="16">
        <f>B4*0.2+C4*0.05+D4*0.05+E4*0.3+F4*0.3+G4*0.05+H4*0.05</f>
        <v>89.7</v>
      </c>
      <c r="J4" s="16">
        <f>C4*0.05+E4*0.3+F4*0.3+G4*0.05</f>
        <v>64.7</v>
      </c>
      <c r="K4" s="16">
        <f>B4*0.2+D4*0.05+H4*0.05</f>
        <v>25</v>
      </c>
      <c r="L4" s="47">
        <f>F34</f>
        <v>100</v>
      </c>
      <c r="M4" s="9">
        <f>AVERAGE(L4,I4)</f>
        <v>94.85</v>
      </c>
      <c r="O4" s="32">
        <v>5</v>
      </c>
      <c r="Q4" s="6" t="s">
        <v>31</v>
      </c>
      <c r="R4" s="18">
        <v>20</v>
      </c>
      <c r="S4" s="51">
        <f t="shared" ref="S4:S10" si="0">R4*10/$R$11/100</f>
        <v>0.02</v>
      </c>
    </row>
    <row r="5" spans="1:19" ht="13.15" x14ac:dyDescent="0.4">
      <c r="A5" s="5" t="s">
        <v>82</v>
      </c>
      <c r="B5" s="22">
        <v>100</v>
      </c>
      <c r="C5" s="22">
        <v>0</v>
      </c>
      <c r="D5" s="22">
        <v>0</v>
      </c>
      <c r="E5" s="22">
        <v>100</v>
      </c>
      <c r="F5" s="22">
        <v>99</v>
      </c>
      <c r="G5" s="22">
        <v>100</v>
      </c>
      <c r="H5" s="22">
        <f t="shared" ref="H5:H6" si="1">L65</f>
        <v>100</v>
      </c>
      <c r="I5" s="16">
        <f t="shared" ref="I5:I6" si="2">B5*0.2+C5*0.05+D5*0.05+E5*0.3+F5*0.3+G5*0.05+H5*0.05</f>
        <v>89.7</v>
      </c>
      <c r="J5" s="16">
        <f t="shared" ref="J5:J6" si="3">C5*0.05+E5*0.3+F5*0.3+G5*0.05</f>
        <v>64.7</v>
      </c>
      <c r="K5" s="16">
        <f t="shared" ref="K5:K6" si="4">B5*0.2+D5*0.05+H5*0.05</f>
        <v>25</v>
      </c>
      <c r="L5" s="47">
        <f t="shared" ref="L5:L6" si="5">F35</f>
        <v>100</v>
      </c>
      <c r="M5" s="9">
        <f t="shared" ref="M5:M6" si="6">AVERAGE(L5,I5)</f>
        <v>94.85</v>
      </c>
      <c r="O5" s="32">
        <v>6</v>
      </c>
      <c r="Q5" s="6" t="s">
        <v>32</v>
      </c>
      <c r="R5" s="18">
        <v>5</v>
      </c>
      <c r="S5" s="51">
        <f t="shared" si="0"/>
        <v>5.0000000000000001E-3</v>
      </c>
    </row>
    <row r="6" spans="1:19" ht="13.15" x14ac:dyDescent="0.4">
      <c r="A6" s="5" t="s">
        <v>83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f t="shared" si="1"/>
        <v>0</v>
      </c>
      <c r="I6" s="16">
        <f t="shared" si="2"/>
        <v>0</v>
      </c>
      <c r="J6" s="16">
        <f t="shared" si="3"/>
        <v>0</v>
      </c>
      <c r="K6" s="16">
        <f t="shared" si="4"/>
        <v>0</v>
      </c>
      <c r="L6" s="47">
        <f t="shared" si="5"/>
        <v>0</v>
      </c>
      <c r="M6" s="9">
        <f t="shared" si="6"/>
        <v>0</v>
      </c>
      <c r="O6" s="32">
        <v>5</v>
      </c>
      <c r="Q6" s="6" t="s">
        <v>33</v>
      </c>
      <c r="R6" s="18">
        <v>5</v>
      </c>
      <c r="S6" s="51">
        <f t="shared" si="0"/>
        <v>5.0000000000000001E-3</v>
      </c>
    </row>
    <row r="7" spans="1:19" ht="13.15" x14ac:dyDescent="0.4">
      <c r="A7" s="5" t="s">
        <v>84</v>
      </c>
      <c r="B7" s="22">
        <v>100</v>
      </c>
      <c r="C7" s="22">
        <v>0</v>
      </c>
      <c r="D7" s="22">
        <v>0</v>
      </c>
      <c r="E7" s="22">
        <v>100</v>
      </c>
      <c r="F7" s="22">
        <v>100</v>
      </c>
      <c r="G7" s="22">
        <v>100</v>
      </c>
      <c r="H7" s="22">
        <f t="shared" ref="H7:H30" si="7">L67</f>
        <v>100</v>
      </c>
      <c r="I7" s="16">
        <f t="shared" ref="I7:I30" si="8">B7*0.2+C7*0.05+D7*0.05+E7*0.3+F7*0.3+G7*0.05+H7*0.05</f>
        <v>90</v>
      </c>
      <c r="J7" s="16">
        <f t="shared" ref="J7:J30" si="9">C7*0.05+E7*0.3+F7*0.3+G7*0.05</f>
        <v>65</v>
      </c>
      <c r="K7" s="16">
        <f t="shared" ref="K7:K30" si="10">B7*0.2+D7*0.05+H7*0.05</f>
        <v>25</v>
      </c>
      <c r="L7" s="47">
        <f t="shared" ref="L7:L30" si="11">F37</f>
        <v>100</v>
      </c>
      <c r="M7" s="9">
        <f t="shared" ref="M7:M30" si="12">AVERAGE(L7,I7)</f>
        <v>95</v>
      </c>
      <c r="O7" s="32">
        <v>2</v>
      </c>
      <c r="Q7" s="6" t="s">
        <v>34</v>
      </c>
      <c r="R7" s="18">
        <v>30</v>
      </c>
      <c r="S7" s="51">
        <f t="shared" si="0"/>
        <v>0.03</v>
      </c>
    </row>
    <row r="8" spans="1:19" ht="13.15" x14ac:dyDescent="0.4">
      <c r="A8" s="5" t="s">
        <v>138</v>
      </c>
      <c r="B8" s="22">
        <v>50</v>
      </c>
      <c r="C8" s="22">
        <v>0</v>
      </c>
      <c r="D8" s="22">
        <v>0</v>
      </c>
      <c r="E8" s="22">
        <v>0</v>
      </c>
      <c r="F8" s="22">
        <v>71</v>
      </c>
      <c r="G8" s="22">
        <v>100</v>
      </c>
      <c r="H8" s="22">
        <f t="shared" si="7"/>
        <v>100</v>
      </c>
      <c r="I8" s="16">
        <f t="shared" si="8"/>
        <v>41.3</v>
      </c>
      <c r="J8" s="16">
        <f t="shared" si="9"/>
        <v>26.3</v>
      </c>
      <c r="K8" s="16">
        <f t="shared" si="10"/>
        <v>15</v>
      </c>
      <c r="L8" s="47">
        <f t="shared" si="11"/>
        <v>100</v>
      </c>
      <c r="M8" s="9">
        <f t="shared" si="12"/>
        <v>70.650000000000006</v>
      </c>
      <c r="O8" s="32">
        <v>3</v>
      </c>
      <c r="Q8" s="6" t="s">
        <v>35</v>
      </c>
      <c r="R8" s="18">
        <v>30</v>
      </c>
      <c r="S8" s="51">
        <f t="shared" si="0"/>
        <v>0.03</v>
      </c>
    </row>
    <row r="9" spans="1:19" ht="13.15" x14ac:dyDescent="0.4">
      <c r="A9" s="5" t="s">
        <v>85</v>
      </c>
      <c r="B9" s="22">
        <v>100</v>
      </c>
      <c r="C9" s="22">
        <v>0</v>
      </c>
      <c r="D9" s="22">
        <v>0</v>
      </c>
      <c r="E9" s="22">
        <v>100</v>
      </c>
      <c r="F9" s="22">
        <v>99</v>
      </c>
      <c r="G9" s="22">
        <v>100</v>
      </c>
      <c r="H9" s="22">
        <f t="shared" si="7"/>
        <v>100</v>
      </c>
      <c r="I9" s="16">
        <f t="shared" si="8"/>
        <v>89.7</v>
      </c>
      <c r="J9" s="16">
        <f t="shared" si="9"/>
        <v>64.7</v>
      </c>
      <c r="K9" s="16">
        <f t="shared" si="10"/>
        <v>25</v>
      </c>
      <c r="L9" s="47">
        <f t="shared" si="11"/>
        <v>100</v>
      </c>
      <c r="M9" s="9">
        <f t="shared" si="12"/>
        <v>94.85</v>
      </c>
      <c r="O9" s="32">
        <v>5</v>
      </c>
      <c r="Q9" s="6" t="s">
        <v>36</v>
      </c>
      <c r="R9" s="18">
        <v>5</v>
      </c>
      <c r="S9" s="51">
        <f t="shared" si="0"/>
        <v>5.0000000000000001E-3</v>
      </c>
    </row>
    <row r="10" spans="1:19" ht="13.15" x14ac:dyDescent="0.4">
      <c r="A10" s="5" t="s">
        <v>86</v>
      </c>
      <c r="B10" s="22">
        <v>100</v>
      </c>
      <c r="C10" s="22">
        <v>0</v>
      </c>
      <c r="D10" s="22">
        <v>0</v>
      </c>
      <c r="E10" s="22">
        <v>100</v>
      </c>
      <c r="F10" s="22">
        <v>92</v>
      </c>
      <c r="G10" s="22">
        <v>100</v>
      </c>
      <c r="H10" s="22">
        <f t="shared" si="7"/>
        <v>100</v>
      </c>
      <c r="I10" s="16">
        <f t="shared" si="8"/>
        <v>87.6</v>
      </c>
      <c r="J10" s="16">
        <f t="shared" si="9"/>
        <v>62.599999999999994</v>
      </c>
      <c r="K10" s="16">
        <f t="shared" si="10"/>
        <v>25</v>
      </c>
      <c r="L10" s="47">
        <f t="shared" si="11"/>
        <v>100</v>
      </c>
      <c r="M10" s="9">
        <f t="shared" si="12"/>
        <v>93.8</v>
      </c>
      <c r="O10" s="32">
        <v>1</v>
      </c>
      <c r="Q10" s="6" t="s">
        <v>75</v>
      </c>
      <c r="R10" s="18">
        <v>5</v>
      </c>
      <c r="S10" s="51">
        <f t="shared" si="0"/>
        <v>5.0000000000000001E-3</v>
      </c>
    </row>
    <row r="11" spans="1:19" ht="13.15" x14ac:dyDescent="0.4">
      <c r="A11" s="5" t="s">
        <v>87</v>
      </c>
      <c r="B11" s="22">
        <v>100</v>
      </c>
      <c r="C11" s="22">
        <v>0</v>
      </c>
      <c r="D11" s="22">
        <v>0</v>
      </c>
      <c r="E11" s="22">
        <v>100</v>
      </c>
      <c r="F11" s="22">
        <v>86</v>
      </c>
      <c r="G11" s="22">
        <v>100</v>
      </c>
      <c r="H11" s="22">
        <f t="shared" si="7"/>
        <v>100</v>
      </c>
      <c r="I11" s="16">
        <f t="shared" si="8"/>
        <v>85.8</v>
      </c>
      <c r="J11" s="16">
        <f t="shared" si="9"/>
        <v>60.8</v>
      </c>
      <c r="K11" s="16">
        <f t="shared" si="10"/>
        <v>25</v>
      </c>
      <c r="L11" s="47">
        <f t="shared" si="11"/>
        <v>100</v>
      </c>
      <c r="M11" s="9">
        <f t="shared" si="12"/>
        <v>92.9</v>
      </c>
      <c r="O11" s="32">
        <v>7</v>
      </c>
      <c r="Q11" s="19" t="s">
        <v>21</v>
      </c>
      <c r="R11" s="20">
        <f>SUM(R4:R10)</f>
        <v>100</v>
      </c>
      <c r="S11" s="50">
        <f>SUM(S4:S10)</f>
        <v>0.1</v>
      </c>
    </row>
    <row r="12" spans="1:19" ht="13.15" x14ac:dyDescent="0.4">
      <c r="A12" s="5" t="s">
        <v>88</v>
      </c>
      <c r="B12" s="22">
        <v>100</v>
      </c>
      <c r="C12" s="22">
        <v>0</v>
      </c>
      <c r="D12" s="22">
        <v>0</v>
      </c>
      <c r="E12" s="22">
        <v>100</v>
      </c>
      <c r="F12" s="22">
        <v>92</v>
      </c>
      <c r="G12" s="22">
        <v>100</v>
      </c>
      <c r="H12" s="22">
        <f t="shared" si="7"/>
        <v>100</v>
      </c>
      <c r="I12" s="16">
        <f t="shared" si="8"/>
        <v>87.6</v>
      </c>
      <c r="J12" s="16">
        <f t="shared" si="9"/>
        <v>62.599999999999994</v>
      </c>
      <c r="K12" s="16">
        <f t="shared" si="10"/>
        <v>25</v>
      </c>
      <c r="L12" s="47">
        <f t="shared" si="11"/>
        <v>100</v>
      </c>
      <c r="M12" s="9">
        <f t="shared" si="12"/>
        <v>93.8</v>
      </c>
      <c r="O12" s="32">
        <v>1</v>
      </c>
    </row>
    <row r="13" spans="1:19" ht="13.15" x14ac:dyDescent="0.4">
      <c r="A13" s="5" t="s">
        <v>139</v>
      </c>
      <c r="B13" s="22">
        <v>100</v>
      </c>
      <c r="C13" s="22">
        <v>0</v>
      </c>
      <c r="D13" s="22">
        <v>0</v>
      </c>
      <c r="E13" s="22">
        <v>100</v>
      </c>
      <c r="F13" s="22">
        <v>100</v>
      </c>
      <c r="G13" s="22">
        <v>100</v>
      </c>
      <c r="H13" s="22">
        <f t="shared" si="7"/>
        <v>100</v>
      </c>
      <c r="I13" s="16">
        <f t="shared" si="8"/>
        <v>90</v>
      </c>
      <c r="J13" s="16">
        <f t="shared" si="9"/>
        <v>65</v>
      </c>
      <c r="K13" s="16">
        <f t="shared" si="10"/>
        <v>25</v>
      </c>
      <c r="L13" s="47">
        <f t="shared" si="11"/>
        <v>100</v>
      </c>
      <c r="M13" s="9">
        <f t="shared" si="12"/>
        <v>95</v>
      </c>
      <c r="O13" s="32">
        <v>4</v>
      </c>
    </row>
    <row r="14" spans="1:19" ht="13.15" x14ac:dyDescent="0.4">
      <c r="A14" s="5" t="s">
        <v>89</v>
      </c>
      <c r="B14" s="22">
        <v>100</v>
      </c>
      <c r="C14" s="22">
        <v>0</v>
      </c>
      <c r="D14" s="22">
        <v>0</v>
      </c>
      <c r="E14" s="22">
        <v>100</v>
      </c>
      <c r="F14" s="22">
        <v>99</v>
      </c>
      <c r="G14" s="22">
        <v>100</v>
      </c>
      <c r="H14" s="22">
        <f t="shared" si="7"/>
        <v>100</v>
      </c>
      <c r="I14" s="16">
        <f t="shared" si="8"/>
        <v>89.7</v>
      </c>
      <c r="J14" s="16">
        <f t="shared" si="9"/>
        <v>64.7</v>
      </c>
      <c r="K14" s="16">
        <f t="shared" si="10"/>
        <v>25</v>
      </c>
      <c r="L14" s="47">
        <f t="shared" si="11"/>
        <v>100</v>
      </c>
      <c r="M14" s="9">
        <f t="shared" si="12"/>
        <v>94.85</v>
      </c>
      <c r="O14" s="32">
        <v>6</v>
      </c>
    </row>
    <row r="15" spans="1:19" ht="13.15" x14ac:dyDescent="0.4">
      <c r="A15" s="5" t="s">
        <v>90</v>
      </c>
      <c r="B15" s="22">
        <v>100</v>
      </c>
      <c r="C15" s="22">
        <v>0</v>
      </c>
      <c r="D15" s="22">
        <v>0</v>
      </c>
      <c r="E15" s="22">
        <v>100</v>
      </c>
      <c r="F15" s="22">
        <v>100</v>
      </c>
      <c r="G15" s="22">
        <v>100</v>
      </c>
      <c r="H15" s="22">
        <f t="shared" si="7"/>
        <v>100</v>
      </c>
      <c r="I15" s="16">
        <f t="shared" si="8"/>
        <v>90</v>
      </c>
      <c r="J15" s="16">
        <f t="shared" si="9"/>
        <v>65</v>
      </c>
      <c r="K15" s="16">
        <f t="shared" si="10"/>
        <v>25</v>
      </c>
      <c r="L15" s="47">
        <f t="shared" si="11"/>
        <v>100</v>
      </c>
      <c r="M15" s="9">
        <f t="shared" si="12"/>
        <v>95</v>
      </c>
      <c r="O15" s="32">
        <v>4</v>
      </c>
    </row>
    <row r="16" spans="1:19" ht="13.15" x14ac:dyDescent="0.4">
      <c r="A16" s="5" t="s">
        <v>91</v>
      </c>
      <c r="B16" s="22">
        <v>100</v>
      </c>
      <c r="C16" s="22">
        <v>0</v>
      </c>
      <c r="D16" s="22">
        <v>0</v>
      </c>
      <c r="E16" s="22">
        <v>100</v>
      </c>
      <c r="F16" s="22">
        <v>99</v>
      </c>
      <c r="G16" s="22">
        <v>100</v>
      </c>
      <c r="H16" s="22">
        <f t="shared" si="7"/>
        <v>100</v>
      </c>
      <c r="I16" s="16">
        <f t="shared" si="8"/>
        <v>89.7</v>
      </c>
      <c r="J16" s="16">
        <f t="shared" si="9"/>
        <v>64.7</v>
      </c>
      <c r="K16" s="16">
        <f t="shared" si="10"/>
        <v>25</v>
      </c>
      <c r="L16" s="47">
        <f t="shared" si="11"/>
        <v>100</v>
      </c>
      <c r="M16" s="9">
        <f t="shared" si="12"/>
        <v>94.85</v>
      </c>
      <c r="O16" s="32">
        <v>6</v>
      </c>
    </row>
    <row r="17" spans="1:15" ht="13.15" x14ac:dyDescent="0.4">
      <c r="A17" s="5" t="s">
        <v>92</v>
      </c>
      <c r="B17" s="22">
        <v>100</v>
      </c>
      <c r="C17" s="22">
        <v>0</v>
      </c>
      <c r="D17" s="22">
        <v>0</v>
      </c>
      <c r="E17" s="22">
        <v>100</v>
      </c>
      <c r="F17" s="22">
        <v>86</v>
      </c>
      <c r="G17" s="22">
        <v>100</v>
      </c>
      <c r="H17" s="22">
        <f t="shared" si="7"/>
        <v>100</v>
      </c>
      <c r="I17" s="16">
        <f t="shared" si="8"/>
        <v>85.8</v>
      </c>
      <c r="J17" s="16">
        <f t="shared" si="9"/>
        <v>60.8</v>
      </c>
      <c r="K17" s="16">
        <f t="shared" si="10"/>
        <v>25</v>
      </c>
      <c r="L17" s="47">
        <f t="shared" si="11"/>
        <v>100</v>
      </c>
      <c r="M17" s="9">
        <f t="shared" si="12"/>
        <v>92.9</v>
      </c>
      <c r="O17" s="32">
        <v>7</v>
      </c>
    </row>
    <row r="18" spans="1:15" ht="13.15" x14ac:dyDescent="0.4">
      <c r="A18" s="5" t="s">
        <v>93</v>
      </c>
      <c r="B18" s="22">
        <v>100</v>
      </c>
      <c r="C18" s="22">
        <v>0</v>
      </c>
      <c r="D18" s="22">
        <v>0</v>
      </c>
      <c r="E18" s="22">
        <v>100</v>
      </c>
      <c r="F18" s="22">
        <v>92</v>
      </c>
      <c r="G18" s="22">
        <v>100</v>
      </c>
      <c r="H18" s="22">
        <f t="shared" si="7"/>
        <v>100</v>
      </c>
      <c r="I18" s="16">
        <f t="shared" si="8"/>
        <v>87.6</v>
      </c>
      <c r="J18" s="16">
        <f t="shared" si="9"/>
        <v>62.599999999999994</v>
      </c>
      <c r="K18" s="16">
        <f t="shared" si="10"/>
        <v>25</v>
      </c>
      <c r="L18" s="47">
        <f t="shared" si="11"/>
        <v>100</v>
      </c>
      <c r="M18" s="9">
        <f t="shared" si="12"/>
        <v>93.8</v>
      </c>
      <c r="O18" s="32">
        <v>1</v>
      </c>
    </row>
    <row r="19" spans="1:15" ht="13.15" x14ac:dyDescent="0.4">
      <c r="A19" s="5" t="s">
        <v>94</v>
      </c>
      <c r="B19" s="22">
        <v>100</v>
      </c>
      <c r="C19" s="22">
        <v>0</v>
      </c>
      <c r="D19" s="22">
        <v>0</v>
      </c>
      <c r="E19" s="22">
        <v>100</v>
      </c>
      <c r="F19" s="22">
        <v>100</v>
      </c>
      <c r="G19" s="22">
        <v>100</v>
      </c>
      <c r="H19" s="22">
        <f t="shared" si="7"/>
        <v>100</v>
      </c>
      <c r="I19" s="16">
        <f t="shared" si="8"/>
        <v>90</v>
      </c>
      <c r="J19" s="16">
        <f t="shared" si="9"/>
        <v>65</v>
      </c>
      <c r="K19" s="16">
        <f t="shared" si="10"/>
        <v>25</v>
      </c>
      <c r="L19" s="47">
        <f t="shared" si="11"/>
        <v>98.333333333333329</v>
      </c>
      <c r="M19" s="9">
        <f t="shared" si="12"/>
        <v>94.166666666666657</v>
      </c>
      <c r="O19" s="32">
        <v>2</v>
      </c>
    </row>
    <row r="20" spans="1:15" ht="13.15" x14ac:dyDescent="0.4">
      <c r="A20" s="5" t="s">
        <v>140</v>
      </c>
      <c r="B20" s="22">
        <v>100</v>
      </c>
      <c r="C20" s="22">
        <v>0</v>
      </c>
      <c r="D20" s="22">
        <v>0</v>
      </c>
      <c r="E20" s="22">
        <v>100</v>
      </c>
      <c r="F20" s="22">
        <v>86</v>
      </c>
      <c r="G20" s="22">
        <v>100</v>
      </c>
      <c r="H20" s="22">
        <f t="shared" si="7"/>
        <v>100</v>
      </c>
      <c r="I20" s="16">
        <f t="shared" si="8"/>
        <v>85.8</v>
      </c>
      <c r="J20" s="16">
        <f t="shared" si="9"/>
        <v>60.8</v>
      </c>
      <c r="K20" s="16">
        <f t="shared" si="10"/>
        <v>25</v>
      </c>
      <c r="L20" s="47">
        <f t="shared" si="11"/>
        <v>100</v>
      </c>
      <c r="M20" s="9">
        <f t="shared" si="12"/>
        <v>92.9</v>
      </c>
      <c r="O20" s="32">
        <v>7</v>
      </c>
    </row>
    <row r="21" spans="1:15" ht="13.15" x14ac:dyDescent="0.4">
      <c r="A21" s="5" t="s">
        <v>95</v>
      </c>
      <c r="B21" s="22">
        <v>100</v>
      </c>
      <c r="C21" s="22">
        <v>0</v>
      </c>
      <c r="D21" s="22">
        <v>0</v>
      </c>
      <c r="E21" s="22">
        <v>100</v>
      </c>
      <c r="F21" s="22">
        <v>100</v>
      </c>
      <c r="G21" s="22">
        <v>100</v>
      </c>
      <c r="H21" s="22">
        <f t="shared" si="7"/>
        <v>100</v>
      </c>
      <c r="I21" s="16">
        <f t="shared" si="8"/>
        <v>90</v>
      </c>
      <c r="J21" s="16">
        <f t="shared" si="9"/>
        <v>65</v>
      </c>
      <c r="K21" s="16">
        <f t="shared" si="10"/>
        <v>25</v>
      </c>
      <c r="L21" s="47">
        <f t="shared" si="11"/>
        <v>100</v>
      </c>
      <c r="M21" s="9">
        <f t="shared" si="12"/>
        <v>95</v>
      </c>
      <c r="O21" s="32">
        <v>2</v>
      </c>
    </row>
    <row r="22" spans="1:15" ht="13.15" x14ac:dyDescent="0.4">
      <c r="A22" s="5" t="s">
        <v>96</v>
      </c>
      <c r="B22" s="22">
        <v>100</v>
      </c>
      <c r="C22" s="22">
        <v>0</v>
      </c>
      <c r="D22" s="22">
        <v>0</v>
      </c>
      <c r="E22" s="22">
        <v>100</v>
      </c>
      <c r="F22" s="22">
        <v>100</v>
      </c>
      <c r="G22" s="22">
        <v>100</v>
      </c>
      <c r="H22" s="22">
        <f t="shared" si="7"/>
        <v>100</v>
      </c>
      <c r="I22" s="16">
        <f t="shared" si="8"/>
        <v>90</v>
      </c>
      <c r="J22" s="16">
        <f t="shared" si="9"/>
        <v>65</v>
      </c>
      <c r="K22" s="16">
        <f t="shared" si="10"/>
        <v>25</v>
      </c>
      <c r="L22" s="47">
        <f t="shared" si="11"/>
        <v>100</v>
      </c>
      <c r="M22" s="9">
        <f t="shared" si="12"/>
        <v>95</v>
      </c>
      <c r="O22" s="32">
        <v>2</v>
      </c>
    </row>
    <row r="23" spans="1:15" ht="13.15" x14ac:dyDescent="0.4">
      <c r="A23" s="5" t="s">
        <v>141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 t="shared" si="7"/>
        <v>0</v>
      </c>
      <c r="I23" s="16">
        <f t="shared" si="8"/>
        <v>0</v>
      </c>
      <c r="J23" s="16">
        <f t="shared" si="9"/>
        <v>0</v>
      </c>
      <c r="K23" s="16">
        <f t="shared" si="10"/>
        <v>0</v>
      </c>
      <c r="L23" s="47">
        <f t="shared" si="11"/>
        <v>0</v>
      </c>
      <c r="M23" s="9">
        <f t="shared" si="12"/>
        <v>0</v>
      </c>
      <c r="O23" s="32"/>
    </row>
    <row r="24" spans="1:15" ht="13.15" x14ac:dyDescent="0.4">
      <c r="A24" s="5" t="s">
        <v>142</v>
      </c>
      <c r="B24" s="22">
        <v>50</v>
      </c>
      <c r="C24" s="22">
        <v>0</v>
      </c>
      <c r="D24" s="22">
        <v>0</v>
      </c>
      <c r="E24" s="22">
        <v>0</v>
      </c>
      <c r="F24" s="22">
        <v>71</v>
      </c>
      <c r="G24" s="22">
        <v>100</v>
      </c>
      <c r="H24" s="22">
        <f t="shared" si="7"/>
        <v>100</v>
      </c>
      <c r="I24" s="16">
        <f t="shared" si="8"/>
        <v>41.3</v>
      </c>
      <c r="J24" s="16">
        <f t="shared" si="9"/>
        <v>26.3</v>
      </c>
      <c r="K24" s="16">
        <f t="shared" si="10"/>
        <v>15</v>
      </c>
      <c r="L24" s="47">
        <f t="shared" si="11"/>
        <v>95.833333333333343</v>
      </c>
      <c r="M24" s="9">
        <f t="shared" si="12"/>
        <v>68.566666666666663</v>
      </c>
      <c r="O24" s="32">
        <v>3</v>
      </c>
    </row>
    <row r="25" spans="1:15" ht="13.15" x14ac:dyDescent="0.4">
      <c r="A25" s="5" t="s">
        <v>143</v>
      </c>
      <c r="B25" s="22">
        <v>50</v>
      </c>
      <c r="C25" s="22">
        <v>0</v>
      </c>
      <c r="D25" s="22">
        <v>0</v>
      </c>
      <c r="E25" s="22">
        <v>0</v>
      </c>
      <c r="F25" s="22">
        <v>71</v>
      </c>
      <c r="G25" s="22">
        <v>100</v>
      </c>
      <c r="H25" s="22">
        <f t="shared" si="7"/>
        <v>100</v>
      </c>
      <c r="I25" s="16">
        <f t="shared" si="8"/>
        <v>41.3</v>
      </c>
      <c r="J25" s="16">
        <f t="shared" si="9"/>
        <v>26.3</v>
      </c>
      <c r="K25" s="16">
        <f t="shared" si="10"/>
        <v>15</v>
      </c>
      <c r="L25" s="47">
        <f t="shared" si="11"/>
        <v>95.833333333333343</v>
      </c>
      <c r="M25" s="9">
        <f t="shared" si="12"/>
        <v>68.566666666666663</v>
      </c>
      <c r="O25" s="32">
        <v>3</v>
      </c>
    </row>
    <row r="26" spans="1:15" ht="13.15" x14ac:dyDescent="0.4">
      <c r="A26" s="5" t="s">
        <v>97</v>
      </c>
      <c r="B26" s="22">
        <v>100</v>
      </c>
      <c r="C26" s="22">
        <v>0</v>
      </c>
      <c r="D26" s="22">
        <v>0</v>
      </c>
      <c r="E26" s="22">
        <v>100</v>
      </c>
      <c r="F26" s="22">
        <v>92</v>
      </c>
      <c r="G26" s="22">
        <v>100</v>
      </c>
      <c r="H26" s="22">
        <f t="shared" si="7"/>
        <v>100</v>
      </c>
      <c r="I26" s="16">
        <f t="shared" si="8"/>
        <v>87.6</v>
      </c>
      <c r="J26" s="16">
        <f t="shared" si="9"/>
        <v>62.599999999999994</v>
      </c>
      <c r="K26" s="16">
        <f t="shared" si="10"/>
        <v>25</v>
      </c>
      <c r="L26" s="47">
        <f t="shared" si="11"/>
        <v>100</v>
      </c>
      <c r="M26" s="9">
        <f t="shared" si="12"/>
        <v>93.8</v>
      </c>
      <c r="O26" s="32">
        <v>1</v>
      </c>
    </row>
    <row r="27" spans="1:15" ht="13.15" x14ac:dyDescent="0.4">
      <c r="A27" s="5" t="s">
        <v>98</v>
      </c>
      <c r="B27" s="22">
        <v>100</v>
      </c>
      <c r="C27" s="22">
        <v>0</v>
      </c>
      <c r="D27" s="22">
        <v>0</v>
      </c>
      <c r="E27" s="22">
        <v>100</v>
      </c>
      <c r="F27" s="22">
        <v>99</v>
      </c>
      <c r="G27" s="22">
        <v>100</v>
      </c>
      <c r="H27" s="22">
        <f t="shared" si="7"/>
        <v>100</v>
      </c>
      <c r="I27" s="16">
        <f t="shared" si="8"/>
        <v>89.7</v>
      </c>
      <c r="J27" s="16">
        <f t="shared" si="9"/>
        <v>64.7</v>
      </c>
      <c r="K27" s="16">
        <f t="shared" si="10"/>
        <v>25</v>
      </c>
      <c r="L27" s="47">
        <f t="shared" si="11"/>
        <v>100</v>
      </c>
      <c r="M27" s="9">
        <f t="shared" si="12"/>
        <v>94.85</v>
      </c>
      <c r="O27" s="32">
        <v>5</v>
      </c>
    </row>
    <row r="28" spans="1:15" ht="13.15" x14ac:dyDescent="0.4">
      <c r="A28" s="5" t="s">
        <v>144</v>
      </c>
      <c r="B28" s="22">
        <v>100</v>
      </c>
      <c r="C28" s="22">
        <v>0</v>
      </c>
      <c r="D28" s="22">
        <v>0</v>
      </c>
      <c r="E28" s="22">
        <v>100</v>
      </c>
      <c r="F28" s="22">
        <v>100</v>
      </c>
      <c r="G28" s="22">
        <v>100</v>
      </c>
      <c r="H28" s="22">
        <f t="shared" si="7"/>
        <v>100</v>
      </c>
      <c r="I28" s="16">
        <f t="shared" si="8"/>
        <v>90</v>
      </c>
      <c r="J28" s="16">
        <f t="shared" si="9"/>
        <v>65</v>
      </c>
      <c r="K28" s="16">
        <f t="shared" si="10"/>
        <v>25</v>
      </c>
      <c r="L28" s="47">
        <f t="shared" si="11"/>
        <v>100</v>
      </c>
      <c r="M28" s="9">
        <f t="shared" si="12"/>
        <v>95</v>
      </c>
      <c r="O28" s="32">
        <v>4</v>
      </c>
    </row>
    <row r="29" spans="1:15" ht="13.15" x14ac:dyDescent="0.4">
      <c r="A29" s="5" t="s">
        <v>99</v>
      </c>
      <c r="B29" s="22">
        <v>100</v>
      </c>
      <c r="C29" s="22">
        <v>0</v>
      </c>
      <c r="D29" s="22">
        <v>0</v>
      </c>
      <c r="E29" s="22">
        <v>100</v>
      </c>
      <c r="F29" s="22">
        <v>86</v>
      </c>
      <c r="G29" s="22">
        <v>100</v>
      </c>
      <c r="H29" s="22">
        <f t="shared" si="7"/>
        <v>100</v>
      </c>
      <c r="I29" s="16">
        <f t="shared" si="8"/>
        <v>85.8</v>
      </c>
      <c r="J29" s="16">
        <f t="shared" si="9"/>
        <v>60.8</v>
      </c>
      <c r="K29" s="16">
        <f t="shared" si="10"/>
        <v>25</v>
      </c>
      <c r="L29" s="47">
        <f t="shared" si="11"/>
        <v>100</v>
      </c>
      <c r="M29" s="9">
        <f t="shared" si="12"/>
        <v>92.9</v>
      </c>
      <c r="O29" s="32">
        <v>7</v>
      </c>
    </row>
    <row r="30" spans="1:15" ht="13.15" x14ac:dyDescent="0.4">
      <c r="A30" s="5" t="s">
        <v>100</v>
      </c>
      <c r="B30" s="22">
        <v>100</v>
      </c>
      <c r="C30" s="22">
        <v>0</v>
      </c>
      <c r="D30" s="22">
        <v>0</v>
      </c>
      <c r="E30" s="22">
        <v>100</v>
      </c>
      <c r="F30" s="22">
        <v>99</v>
      </c>
      <c r="G30" s="22">
        <v>100</v>
      </c>
      <c r="H30" s="22">
        <f t="shared" si="7"/>
        <v>100</v>
      </c>
      <c r="I30" s="16">
        <f t="shared" si="8"/>
        <v>89.7</v>
      </c>
      <c r="J30" s="16">
        <f t="shared" si="9"/>
        <v>64.7</v>
      </c>
      <c r="K30" s="16">
        <f t="shared" si="10"/>
        <v>25</v>
      </c>
      <c r="L30" s="47">
        <f t="shared" si="11"/>
        <v>100</v>
      </c>
      <c r="M30" s="9">
        <f t="shared" si="12"/>
        <v>94.85</v>
      </c>
      <c r="O30" s="32">
        <v>6</v>
      </c>
    </row>
    <row r="31" spans="1:15" ht="13.15" x14ac:dyDescent="0.35">
      <c r="O31" s="48"/>
    </row>
    <row r="32" spans="1:15" x14ac:dyDescent="0.35">
      <c r="A32" s="72" t="s">
        <v>70</v>
      </c>
      <c r="B32" s="72"/>
      <c r="C32" s="72"/>
      <c r="D32" s="72"/>
      <c r="E32" s="72"/>
      <c r="F32" s="72"/>
      <c r="G32"/>
    </row>
    <row r="33" spans="1:8" x14ac:dyDescent="0.35">
      <c r="A33" s="33"/>
      <c r="B33" s="34" t="s">
        <v>37</v>
      </c>
      <c r="C33" s="34" t="s">
        <v>38</v>
      </c>
      <c r="D33" s="34" t="s">
        <v>42</v>
      </c>
      <c r="E33" s="35" t="s">
        <v>40</v>
      </c>
      <c r="F33" s="35" t="s">
        <v>18</v>
      </c>
      <c r="G33"/>
    </row>
    <row r="34" spans="1:8" ht="13.15" x14ac:dyDescent="0.4">
      <c r="A34" s="5" t="s">
        <v>81</v>
      </c>
      <c r="B34" s="36">
        <v>100</v>
      </c>
      <c r="C34" s="36">
        <v>100</v>
      </c>
      <c r="D34" s="36">
        <v>100</v>
      </c>
      <c r="E34" s="36">
        <v>100</v>
      </c>
      <c r="F34" s="37">
        <f>AVERAGE(B34:E34)</f>
        <v>100</v>
      </c>
      <c r="G34"/>
      <c r="H34" s="32">
        <v>5</v>
      </c>
    </row>
    <row r="35" spans="1:8" ht="13.15" x14ac:dyDescent="0.4">
      <c r="A35" s="5" t="s">
        <v>82</v>
      </c>
      <c r="B35" s="36">
        <v>100</v>
      </c>
      <c r="C35" s="36">
        <v>100</v>
      </c>
      <c r="D35" s="36">
        <v>100</v>
      </c>
      <c r="E35" s="36">
        <v>100</v>
      </c>
      <c r="F35" s="37">
        <f t="shared" ref="F35:F36" si="13">AVERAGE(B35:E35)</f>
        <v>100</v>
      </c>
      <c r="G35"/>
      <c r="H35" s="32">
        <v>6</v>
      </c>
    </row>
    <row r="36" spans="1:8" ht="13.15" x14ac:dyDescent="0.4">
      <c r="A36" s="5" t="s">
        <v>83</v>
      </c>
      <c r="B36" s="36">
        <v>0</v>
      </c>
      <c r="C36" s="36">
        <v>0</v>
      </c>
      <c r="D36" s="36">
        <v>0</v>
      </c>
      <c r="E36" s="36">
        <v>0</v>
      </c>
      <c r="F36" s="37">
        <f t="shared" si="13"/>
        <v>0</v>
      </c>
      <c r="G36"/>
      <c r="H36" s="32">
        <v>5</v>
      </c>
    </row>
    <row r="37" spans="1:8" ht="13.15" x14ac:dyDescent="0.4">
      <c r="A37" s="5" t="s">
        <v>84</v>
      </c>
      <c r="B37" s="36">
        <v>100</v>
      </c>
      <c r="C37" s="36">
        <v>100</v>
      </c>
      <c r="D37" s="36">
        <v>100</v>
      </c>
      <c r="E37" s="36">
        <v>100</v>
      </c>
      <c r="F37" s="37">
        <f t="shared" ref="F37:F60" si="14">AVERAGE(B37:E37)</f>
        <v>100</v>
      </c>
      <c r="G37"/>
      <c r="H37" s="32">
        <v>2</v>
      </c>
    </row>
    <row r="38" spans="1:8" ht="13.15" x14ac:dyDescent="0.4">
      <c r="A38" s="5" t="s">
        <v>138</v>
      </c>
      <c r="B38" s="36">
        <v>100</v>
      </c>
      <c r="C38" s="36">
        <v>100</v>
      </c>
      <c r="D38" s="36">
        <v>100</v>
      </c>
      <c r="E38" s="36">
        <v>100</v>
      </c>
      <c r="F38" s="37">
        <f t="shared" si="14"/>
        <v>100</v>
      </c>
      <c r="G38"/>
      <c r="H38" s="32">
        <v>3</v>
      </c>
    </row>
    <row r="39" spans="1:8" ht="13.15" x14ac:dyDescent="0.4">
      <c r="A39" s="5" t="s">
        <v>85</v>
      </c>
      <c r="B39" s="36">
        <v>100</v>
      </c>
      <c r="C39" s="36">
        <v>100</v>
      </c>
      <c r="D39" s="36">
        <v>100</v>
      </c>
      <c r="E39" s="36">
        <v>100</v>
      </c>
      <c r="F39" s="37">
        <f t="shared" si="14"/>
        <v>100</v>
      </c>
      <c r="G39"/>
      <c r="H39" s="32">
        <v>5</v>
      </c>
    </row>
    <row r="40" spans="1:8" ht="13.15" x14ac:dyDescent="0.4">
      <c r="A40" s="5" t="s">
        <v>86</v>
      </c>
      <c r="B40" s="36">
        <v>100</v>
      </c>
      <c r="C40" s="36">
        <v>100</v>
      </c>
      <c r="D40" s="36">
        <v>100</v>
      </c>
      <c r="E40" s="36">
        <v>100</v>
      </c>
      <c r="F40" s="37">
        <f t="shared" si="14"/>
        <v>100</v>
      </c>
      <c r="G40"/>
      <c r="H40" s="32">
        <v>1</v>
      </c>
    </row>
    <row r="41" spans="1:8" ht="13.15" x14ac:dyDescent="0.4">
      <c r="A41" s="5" t="s">
        <v>87</v>
      </c>
      <c r="B41" s="36">
        <v>100</v>
      </c>
      <c r="C41" s="36">
        <v>100</v>
      </c>
      <c r="D41" s="36">
        <v>100</v>
      </c>
      <c r="E41" s="36">
        <v>100</v>
      </c>
      <c r="F41" s="37">
        <f t="shared" si="14"/>
        <v>100</v>
      </c>
      <c r="G41"/>
      <c r="H41" s="32">
        <v>7</v>
      </c>
    </row>
    <row r="42" spans="1:8" ht="13.15" x14ac:dyDescent="0.4">
      <c r="A42" s="5" t="s">
        <v>88</v>
      </c>
      <c r="B42" s="36">
        <v>100</v>
      </c>
      <c r="C42" s="36">
        <v>100</v>
      </c>
      <c r="D42" s="36">
        <v>100</v>
      </c>
      <c r="E42" s="36">
        <v>100</v>
      </c>
      <c r="F42" s="37">
        <f t="shared" si="14"/>
        <v>100</v>
      </c>
      <c r="G42"/>
      <c r="H42" s="32">
        <v>1</v>
      </c>
    </row>
    <row r="43" spans="1:8" ht="13.15" x14ac:dyDescent="0.4">
      <c r="A43" s="5" t="s">
        <v>139</v>
      </c>
      <c r="B43" s="36">
        <v>100</v>
      </c>
      <c r="C43" s="36">
        <v>100</v>
      </c>
      <c r="D43" s="36">
        <v>100</v>
      </c>
      <c r="E43" s="36">
        <v>100</v>
      </c>
      <c r="F43" s="37">
        <f t="shared" si="14"/>
        <v>100</v>
      </c>
      <c r="G43"/>
      <c r="H43" s="32">
        <v>4</v>
      </c>
    </row>
    <row r="44" spans="1:8" ht="13.15" x14ac:dyDescent="0.4">
      <c r="A44" s="5" t="s">
        <v>89</v>
      </c>
      <c r="B44" s="36">
        <v>100</v>
      </c>
      <c r="C44" s="36">
        <v>100</v>
      </c>
      <c r="D44" s="36">
        <v>100</v>
      </c>
      <c r="E44" s="36">
        <v>100</v>
      </c>
      <c r="F44" s="37">
        <f t="shared" si="14"/>
        <v>100</v>
      </c>
      <c r="G44"/>
      <c r="H44" s="32">
        <v>6</v>
      </c>
    </row>
    <row r="45" spans="1:8" ht="13.15" x14ac:dyDescent="0.4">
      <c r="A45" s="5" t="s">
        <v>90</v>
      </c>
      <c r="B45" s="36">
        <v>100</v>
      </c>
      <c r="C45" s="36">
        <v>100</v>
      </c>
      <c r="D45" s="36">
        <v>100</v>
      </c>
      <c r="E45" s="36">
        <v>100</v>
      </c>
      <c r="F45" s="37">
        <f t="shared" si="14"/>
        <v>100</v>
      </c>
      <c r="G45"/>
      <c r="H45" s="32">
        <v>4</v>
      </c>
    </row>
    <row r="46" spans="1:8" ht="13.15" x14ac:dyDescent="0.4">
      <c r="A46" s="5" t="s">
        <v>91</v>
      </c>
      <c r="B46" s="36">
        <v>100</v>
      </c>
      <c r="C46" s="36">
        <v>100</v>
      </c>
      <c r="D46" s="36">
        <v>100</v>
      </c>
      <c r="E46" s="36">
        <v>100</v>
      </c>
      <c r="F46" s="37">
        <f t="shared" si="14"/>
        <v>100</v>
      </c>
      <c r="G46"/>
      <c r="H46" s="32">
        <v>6</v>
      </c>
    </row>
    <row r="47" spans="1:8" ht="13.15" x14ac:dyDescent="0.4">
      <c r="A47" s="5" t="s">
        <v>92</v>
      </c>
      <c r="B47" s="36">
        <v>100</v>
      </c>
      <c r="C47" s="36">
        <v>100</v>
      </c>
      <c r="D47" s="36">
        <v>100</v>
      </c>
      <c r="E47" s="36">
        <v>100</v>
      </c>
      <c r="F47" s="37">
        <f t="shared" si="14"/>
        <v>100</v>
      </c>
      <c r="G47"/>
      <c r="H47" s="32">
        <v>7</v>
      </c>
    </row>
    <row r="48" spans="1:8" ht="13.15" x14ac:dyDescent="0.4">
      <c r="A48" s="5" t="s">
        <v>93</v>
      </c>
      <c r="B48" s="36">
        <v>100</v>
      </c>
      <c r="C48" s="36">
        <v>100</v>
      </c>
      <c r="D48" s="36">
        <v>100</v>
      </c>
      <c r="E48" s="36">
        <v>100</v>
      </c>
      <c r="F48" s="37">
        <f t="shared" si="14"/>
        <v>100</v>
      </c>
      <c r="G48"/>
      <c r="H48" s="32">
        <v>1</v>
      </c>
    </row>
    <row r="49" spans="1:14" ht="13.15" x14ac:dyDescent="0.4">
      <c r="A49" s="5" t="s">
        <v>94</v>
      </c>
      <c r="B49" s="36">
        <v>100</v>
      </c>
      <c r="C49" s="36">
        <f>28/30*100</f>
        <v>93.333333333333329</v>
      </c>
      <c r="D49" s="36">
        <v>100</v>
      </c>
      <c r="E49" s="36">
        <v>100</v>
      </c>
      <c r="F49" s="37">
        <f t="shared" si="14"/>
        <v>98.333333333333329</v>
      </c>
      <c r="G49"/>
      <c r="H49" s="32">
        <v>2</v>
      </c>
    </row>
    <row r="50" spans="1:14" ht="13.15" x14ac:dyDescent="0.4">
      <c r="A50" s="5" t="s">
        <v>140</v>
      </c>
      <c r="B50" s="36">
        <v>100</v>
      </c>
      <c r="C50" s="36">
        <v>100</v>
      </c>
      <c r="D50" s="36">
        <v>100</v>
      </c>
      <c r="E50" s="36">
        <v>100</v>
      </c>
      <c r="F50" s="37">
        <f t="shared" si="14"/>
        <v>100</v>
      </c>
      <c r="H50" s="32">
        <v>7</v>
      </c>
    </row>
    <row r="51" spans="1:14" ht="13.15" x14ac:dyDescent="0.4">
      <c r="A51" s="5" t="s">
        <v>95</v>
      </c>
      <c r="B51" s="36">
        <v>100</v>
      </c>
      <c r="C51" s="36">
        <v>100</v>
      </c>
      <c r="D51" s="36">
        <v>100</v>
      </c>
      <c r="E51" s="36">
        <v>100</v>
      </c>
      <c r="F51" s="37">
        <f t="shared" si="14"/>
        <v>100</v>
      </c>
      <c r="H51" s="32">
        <v>2</v>
      </c>
    </row>
    <row r="52" spans="1:14" ht="13.15" x14ac:dyDescent="0.4">
      <c r="A52" s="5" t="s">
        <v>96</v>
      </c>
      <c r="B52" s="36">
        <v>100</v>
      </c>
      <c r="C52" s="36">
        <v>100</v>
      </c>
      <c r="D52" s="36">
        <v>100</v>
      </c>
      <c r="E52" s="36">
        <v>100</v>
      </c>
      <c r="F52" s="37">
        <f t="shared" si="14"/>
        <v>100</v>
      </c>
      <c r="H52" s="32">
        <v>2</v>
      </c>
    </row>
    <row r="53" spans="1:14" ht="13.15" x14ac:dyDescent="0.4">
      <c r="A53" s="5" t="s">
        <v>141</v>
      </c>
      <c r="B53" s="36">
        <v>0</v>
      </c>
      <c r="C53" s="36">
        <v>0</v>
      </c>
      <c r="D53" s="36">
        <v>0</v>
      </c>
      <c r="E53" s="36">
        <v>0</v>
      </c>
      <c r="F53" s="37">
        <f t="shared" si="14"/>
        <v>0</v>
      </c>
      <c r="H53" s="32"/>
    </row>
    <row r="54" spans="1:14" ht="13.15" x14ac:dyDescent="0.4">
      <c r="A54" s="5" t="s">
        <v>142</v>
      </c>
      <c r="B54" s="36">
        <f>25/30*100</f>
        <v>83.333333333333343</v>
      </c>
      <c r="C54" s="36">
        <v>100</v>
      </c>
      <c r="D54" s="36">
        <v>100</v>
      </c>
      <c r="E54" s="36">
        <v>100</v>
      </c>
      <c r="F54" s="37">
        <f t="shared" si="14"/>
        <v>95.833333333333343</v>
      </c>
      <c r="H54" s="32">
        <v>3</v>
      </c>
    </row>
    <row r="55" spans="1:14" ht="13.15" x14ac:dyDescent="0.4">
      <c r="A55" s="5" t="s">
        <v>143</v>
      </c>
      <c r="B55" s="36">
        <f>25/30*100</f>
        <v>83.333333333333343</v>
      </c>
      <c r="C55" s="36">
        <v>100</v>
      </c>
      <c r="D55" s="36">
        <v>100</v>
      </c>
      <c r="E55" s="36">
        <v>100</v>
      </c>
      <c r="F55" s="37">
        <f t="shared" si="14"/>
        <v>95.833333333333343</v>
      </c>
      <c r="H55" s="32">
        <v>3</v>
      </c>
    </row>
    <row r="56" spans="1:14" ht="13.15" x14ac:dyDescent="0.4">
      <c r="A56" s="5" t="s">
        <v>97</v>
      </c>
      <c r="B56" s="36">
        <v>100</v>
      </c>
      <c r="C56" s="36">
        <v>100</v>
      </c>
      <c r="D56" s="36">
        <v>100</v>
      </c>
      <c r="E56" s="36">
        <v>100</v>
      </c>
      <c r="F56" s="37">
        <f t="shared" si="14"/>
        <v>100</v>
      </c>
      <c r="H56" s="32">
        <v>1</v>
      </c>
    </row>
    <row r="57" spans="1:14" ht="13.15" x14ac:dyDescent="0.4">
      <c r="A57" s="5" t="s">
        <v>98</v>
      </c>
      <c r="B57" s="36">
        <v>100</v>
      </c>
      <c r="C57" s="36">
        <v>100</v>
      </c>
      <c r="D57" s="36">
        <v>100</v>
      </c>
      <c r="E57" s="36">
        <v>100</v>
      </c>
      <c r="F57" s="37">
        <f t="shared" si="14"/>
        <v>100</v>
      </c>
      <c r="H57" s="32">
        <v>5</v>
      </c>
    </row>
    <row r="58" spans="1:14" ht="13.15" x14ac:dyDescent="0.4">
      <c r="A58" s="5" t="s">
        <v>144</v>
      </c>
      <c r="B58" s="36">
        <v>100</v>
      </c>
      <c r="C58" s="36">
        <v>100</v>
      </c>
      <c r="D58" s="36">
        <v>100</v>
      </c>
      <c r="E58" s="36">
        <v>100</v>
      </c>
      <c r="F58" s="37">
        <f t="shared" si="14"/>
        <v>100</v>
      </c>
      <c r="H58" s="32">
        <v>4</v>
      </c>
    </row>
    <row r="59" spans="1:14" ht="13.15" x14ac:dyDescent="0.4">
      <c r="A59" s="5" t="s">
        <v>99</v>
      </c>
      <c r="B59" s="36">
        <v>100</v>
      </c>
      <c r="C59" s="36">
        <v>100</v>
      </c>
      <c r="D59" s="36">
        <v>100</v>
      </c>
      <c r="E59" s="36">
        <v>100</v>
      </c>
      <c r="F59" s="37">
        <f t="shared" si="14"/>
        <v>100</v>
      </c>
      <c r="H59" s="32">
        <v>7</v>
      </c>
    </row>
    <row r="60" spans="1:14" ht="13.15" x14ac:dyDescent="0.4">
      <c r="A60" s="5" t="s">
        <v>100</v>
      </c>
      <c r="B60" s="36">
        <v>100</v>
      </c>
      <c r="C60" s="36">
        <v>100</v>
      </c>
      <c r="D60" s="36">
        <v>100</v>
      </c>
      <c r="E60" s="36">
        <v>100</v>
      </c>
      <c r="F60" s="37">
        <f t="shared" si="14"/>
        <v>100</v>
      </c>
      <c r="H60" s="32">
        <v>6</v>
      </c>
    </row>
    <row r="61" spans="1:14" ht="13.15" x14ac:dyDescent="0.4">
      <c r="A61" s="41"/>
      <c r="B61" s="42"/>
      <c r="C61" s="42"/>
      <c r="D61" s="42"/>
      <c r="E61" s="42"/>
      <c r="F61" s="43"/>
      <c r="H61" s="48"/>
    </row>
    <row r="62" spans="1:14" x14ac:dyDescent="0.35">
      <c r="A62" s="72" t="s">
        <v>74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</row>
    <row r="63" spans="1:14" x14ac:dyDescent="0.35">
      <c r="A63" s="33"/>
      <c r="B63" s="44">
        <v>44081</v>
      </c>
      <c r="C63" s="44">
        <v>44084</v>
      </c>
      <c r="D63" s="44">
        <v>44088</v>
      </c>
      <c r="E63" s="44">
        <v>44091</v>
      </c>
      <c r="F63" s="44">
        <v>44095</v>
      </c>
      <c r="G63" s="44">
        <v>44098</v>
      </c>
      <c r="H63" s="44">
        <v>44102</v>
      </c>
      <c r="I63" s="44">
        <v>44105</v>
      </c>
      <c r="J63" s="44">
        <v>44109</v>
      </c>
      <c r="K63" s="44">
        <v>44112</v>
      </c>
      <c r="L63" s="35" t="s">
        <v>18</v>
      </c>
    </row>
    <row r="64" spans="1:14" ht="13.15" x14ac:dyDescent="0.4">
      <c r="A64" s="5" t="s">
        <v>81</v>
      </c>
      <c r="B64" s="36">
        <v>1</v>
      </c>
      <c r="C64" s="36">
        <v>1</v>
      </c>
      <c r="D64" s="36">
        <v>1</v>
      </c>
      <c r="E64" s="36">
        <v>1</v>
      </c>
      <c r="F64" s="36">
        <v>1</v>
      </c>
      <c r="G64" s="36">
        <v>1</v>
      </c>
      <c r="H64" s="36">
        <v>1</v>
      </c>
      <c r="I64" s="36">
        <v>1</v>
      </c>
      <c r="J64" s="36">
        <v>1</v>
      </c>
      <c r="K64" s="36">
        <v>1</v>
      </c>
      <c r="L64" s="37">
        <f>AVERAGE(B64:K64)*100</f>
        <v>100</v>
      </c>
      <c r="N64" s="32">
        <v>5</v>
      </c>
    </row>
    <row r="65" spans="1:14" ht="13.15" x14ac:dyDescent="0.4">
      <c r="A65" s="5" t="s">
        <v>82</v>
      </c>
      <c r="B65" s="36">
        <v>1</v>
      </c>
      <c r="C65" s="36">
        <v>1</v>
      </c>
      <c r="D65" s="36">
        <v>1</v>
      </c>
      <c r="E65" s="36">
        <v>1</v>
      </c>
      <c r="F65" s="36">
        <v>1</v>
      </c>
      <c r="G65" s="36">
        <v>1</v>
      </c>
      <c r="H65" s="36">
        <v>1</v>
      </c>
      <c r="I65" s="36">
        <v>1</v>
      </c>
      <c r="J65" s="36">
        <v>1</v>
      </c>
      <c r="K65" s="36">
        <v>1</v>
      </c>
      <c r="L65" s="37">
        <f t="shared" ref="L65:L66" si="15">AVERAGE(B65:K65)*100</f>
        <v>100</v>
      </c>
      <c r="N65" s="32">
        <v>6</v>
      </c>
    </row>
    <row r="66" spans="1:14" ht="13.15" x14ac:dyDescent="0.4">
      <c r="A66" s="5" t="s">
        <v>83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7">
        <f t="shared" si="15"/>
        <v>0</v>
      </c>
      <c r="N66" s="32">
        <v>5</v>
      </c>
    </row>
    <row r="67" spans="1:14" ht="13.15" x14ac:dyDescent="0.4">
      <c r="A67" s="5" t="s">
        <v>84</v>
      </c>
      <c r="B67" s="36">
        <v>1</v>
      </c>
      <c r="C67" s="36">
        <v>1</v>
      </c>
      <c r="D67" s="36">
        <v>1</v>
      </c>
      <c r="E67" s="36">
        <v>1</v>
      </c>
      <c r="F67" s="36">
        <v>1</v>
      </c>
      <c r="G67" s="36">
        <v>1</v>
      </c>
      <c r="H67" s="36">
        <v>1</v>
      </c>
      <c r="I67" s="36">
        <v>1</v>
      </c>
      <c r="J67" s="36">
        <v>1</v>
      </c>
      <c r="K67" s="36">
        <v>1</v>
      </c>
      <c r="L67" s="37">
        <f t="shared" ref="L67:L90" si="16">AVERAGE(B67:K67)*100</f>
        <v>100</v>
      </c>
      <c r="N67" s="32">
        <v>2</v>
      </c>
    </row>
    <row r="68" spans="1:14" ht="13.15" x14ac:dyDescent="0.4">
      <c r="A68" s="5" t="s">
        <v>138</v>
      </c>
      <c r="B68" s="36">
        <v>1</v>
      </c>
      <c r="C68" s="36">
        <v>1</v>
      </c>
      <c r="D68" s="36">
        <v>1</v>
      </c>
      <c r="E68" s="36">
        <v>1</v>
      </c>
      <c r="F68" s="36">
        <v>1</v>
      </c>
      <c r="G68" s="36">
        <v>1</v>
      </c>
      <c r="H68" s="36">
        <v>1</v>
      </c>
      <c r="I68" s="36">
        <v>1</v>
      </c>
      <c r="J68" s="36">
        <v>1</v>
      </c>
      <c r="K68" s="36">
        <v>1</v>
      </c>
      <c r="L68" s="37">
        <f t="shared" si="16"/>
        <v>100</v>
      </c>
      <c r="N68" s="32">
        <v>3</v>
      </c>
    </row>
    <row r="69" spans="1:14" ht="13.15" x14ac:dyDescent="0.4">
      <c r="A69" s="5" t="s">
        <v>85</v>
      </c>
      <c r="B69" s="36">
        <v>1</v>
      </c>
      <c r="C69" s="36">
        <v>1</v>
      </c>
      <c r="D69" s="36">
        <v>1</v>
      </c>
      <c r="E69" s="36">
        <v>1</v>
      </c>
      <c r="F69" s="36">
        <v>1</v>
      </c>
      <c r="G69" s="36">
        <v>1</v>
      </c>
      <c r="H69" s="36">
        <v>1</v>
      </c>
      <c r="I69" s="36">
        <v>1</v>
      </c>
      <c r="J69" s="36">
        <v>1</v>
      </c>
      <c r="K69" s="36">
        <v>1</v>
      </c>
      <c r="L69" s="37">
        <f t="shared" si="16"/>
        <v>100</v>
      </c>
      <c r="N69" s="32">
        <v>5</v>
      </c>
    </row>
    <row r="70" spans="1:14" ht="13.15" x14ac:dyDescent="0.4">
      <c r="A70" s="5" t="s">
        <v>86</v>
      </c>
      <c r="B70" s="36">
        <v>1</v>
      </c>
      <c r="C70" s="36">
        <v>1</v>
      </c>
      <c r="D70" s="36">
        <v>1</v>
      </c>
      <c r="E70" s="36">
        <v>1</v>
      </c>
      <c r="F70" s="36">
        <v>1</v>
      </c>
      <c r="G70" s="36">
        <v>1</v>
      </c>
      <c r="H70" s="36">
        <v>1</v>
      </c>
      <c r="I70" s="36">
        <v>1</v>
      </c>
      <c r="J70" s="36">
        <v>1</v>
      </c>
      <c r="K70" s="36">
        <v>1</v>
      </c>
      <c r="L70" s="37">
        <f t="shared" si="16"/>
        <v>100</v>
      </c>
      <c r="N70" s="32">
        <v>1</v>
      </c>
    </row>
    <row r="71" spans="1:14" ht="13.15" x14ac:dyDescent="0.4">
      <c r="A71" s="5" t="s">
        <v>87</v>
      </c>
      <c r="B71" s="36">
        <v>1</v>
      </c>
      <c r="C71" s="36">
        <v>1</v>
      </c>
      <c r="D71" s="36">
        <v>1</v>
      </c>
      <c r="E71" s="36">
        <v>1</v>
      </c>
      <c r="F71" s="36">
        <v>1</v>
      </c>
      <c r="G71" s="36">
        <v>1</v>
      </c>
      <c r="H71" s="36">
        <v>1</v>
      </c>
      <c r="I71" s="36">
        <v>1</v>
      </c>
      <c r="J71" s="36">
        <v>1</v>
      </c>
      <c r="K71" s="36">
        <v>1</v>
      </c>
      <c r="L71" s="37">
        <f t="shared" si="16"/>
        <v>100</v>
      </c>
      <c r="N71" s="32">
        <v>7</v>
      </c>
    </row>
    <row r="72" spans="1:14" ht="13.15" x14ac:dyDescent="0.4">
      <c r="A72" s="5" t="s">
        <v>88</v>
      </c>
      <c r="B72" s="36">
        <v>1</v>
      </c>
      <c r="C72" s="36">
        <v>1</v>
      </c>
      <c r="D72" s="36">
        <v>1</v>
      </c>
      <c r="E72" s="36">
        <v>1</v>
      </c>
      <c r="F72" s="36">
        <v>1</v>
      </c>
      <c r="G72" s="36">
        <v>1</v>
      </c>
      <c r="H72" s="36">
        <v>1</v>
      </c>
      <c r="I72" s="36">
        <v>1</v>
      </c>
      <c r="J72" s="36">
        <v>1</v>
      </c>
      <c r="K72" s="36">
        <v>1</v>
      </c>
      <c r="L72" s="37">
        <f t="shared" si="16"/>
        <v>100</v>
      </c>
      <c r="N72" s="32">
        <v>1</v>
      </c>
    </row>
    <row r="73" spans="1:14" ht="13.15" x14ac:dyDescent="0.4">
      <c r="A73" s="5" t="s">
        <v>139</v>
      </c>
      <c r="B73" s="36">
        <v>1</v>
      </c>
      <c r="C73" s="36">
        <v>1</v>
      </c>
      <c r="D73" s="36">
        <v>1</v>
      </c>
      <c r="E73" s="36">
        <v>1</v>
      </c>
      <c r="F73" s="36">
        <v>1</v>
      </c>
      <c r="G73" s="36">
        <v>1</v>
      </c>
      <c r="H73" s="36">
        <v>1</v>
      </c>
      <c r="I73" s="36">
        <v>1</v>
      </c>
      <c r="J73" s="36">
        <v>1</v>
      </c>
      <c r="K73" s="36">
        <v>1</v>
      </c>
      <c r="L73" s="37">
        <f t="shared" si="16"/>
        <v>100</v>
      </c>
      <c r="N73" s="32">
        <v>4</v>
      </c>
    </row>
    <row r="74" spans="1:14" ht="13.15" x14ac:dyDescent="0.4">
      <c r="A74" s="5" t="s">
        <v>89</v>
      </c>
      <c r="B74" s="36">
        <v>1</v>
      </c>
      <c r="C74" s="36">
        <v>1</v>
      </c>
      <c r="D74" s="36">
        <v>1</v>
      </c>
      <c r="E74" s="36">
        <v>1</v>
      </c>
      <c r="F74" s="36">
        <v>1</v>
      </c>
      <c r="G74" s="36">
        <v>1</v>
      </c>
      <c r="H74" s="36">
        <v>1</v>
      </c>
      <c r="I74" s="36">
        <v>1</v>
      </c>
      <c r="J74" s="36">
        <v>1</v>
      </c>
      <c r="K74" s="36">
        <v>1</v>
      </c>
      <c r="L74" s="37">
        <f t="shared" si="16"/>
        <v>100</v>
      </c>
      <c r="N74" s="32">
        <v>6</v>
      </c>
    </row>
    <row r="75" spans="1:14" ht="13.15" x14ac:dyDescent="0.4">
      <c r="A75" s="5" t="s">
        <v>90</v>
      </c>
      <c r="B75" s="36">
        <v>1</v>
      </c>
      <c r="C75" s="36">
        <v>1</v>
      </c>
      <c r="D75" s="36">
        <v>1</v>
      </c>
      <c r="E75" s="36">
        <v>1</v>
      </c>
      <c r="F75" s="36">
        <v>1</v>
      </c>
      <c r="G75" s="36">
        <v>1</v>
      </c>
      <c r="H75" s="36">
        <v>1</v>
      </c>
      <c r="I75" s="36">
        <v>1</v>
      </c>
      <c r="J75" s="36">
        <v>1</v>
      </c>
      <c r="K75" s="36">
        <v>1</v>
      </c>
      <c r="L75" s="37">
        <f t="shared" si="16"/>
        <v>100</v>
      </c>
      <c r="N75" s="32">
        <v>4</v>
      </c>
    </row>
    <row r="76" spans="1:14" ht="13.15" x14ac:dyDescent="0.4">
      <c r="A76" s="5" t="s">
        <v>91</v>
      </c>
      <c r="B76" s="36">
        <v>1</v>
      </c>
      <c r="C76" s="36">
        <v>1</v>
      </c>
      <c r="D76" s="36">
        <v>1</v>
      </c>
      <c r="E76" s="36">
        <v>1</v>
      </c>
      <c r="F76" s="36">
        <v>1</v>
      </c>
      <c r="G76" s="36">
        <v>1</v>
      </c>
      <c r="H76" s="36">
        <v>1</v>
      </c>
      <c r="I76" s="36">
        <v>1</v>
      </c>
      <c r="J76" s="36">
        <v>1</v>
      </c>
      <c r="K76" s="36">
        <v>1</v>
      </c>
      <c r="L76" s="37">
        <f t="shared" si="16"/>
        <v>100</v>
      </c>
      <c r="N76" s="32">
        <v>6</v>
      </c>
    </row>
    <row r="77" spans="1:14" ht="13.15" x14ac:dyDescent="0.4">
      <c r="A77" s="5" t="s">
        <v>92</v>
      </c>
      <c r="B77" s="36">
        <v>1</v>
      </c>
      <c r="C77" s="36">
        <v>1</v>
      </c>
      <c r="D77" s="36">
        <v>1</v>
      </c>
      <c r="E77" s="36">
        <v>1</v>
      </c>
      <c r="F77" s="36">
        <v>1</v>
      </c>
      <c r="G77" s="36">
        <v>1</v>
      </c>
      <c r="H77" s="36">
        <v>1</v>
      </c>
      <c r="I77" s="36">
        <v>1</v>
      </c>
      <c r="J77" s="36">
        <v>1</v>
      </c>
      <c r="K77" s="36">
        <v>1</v>
      </c>
      <c r="L77" s="37">
        <f t="shared" si="16"/>
        <v>100</v>
      </c>
      <c r="N77" s="32">
        <v>7</v>
      </c>
    </row>
    <row r="78" spans="1:14" ht="13.15" x14ac:dyDescent="0.4">
      <c r="A78" s="5" t="s">
        <v>93</v>
      </c>
      <c r="B78" s="36">
        <v>1</v>
      </c>
      <c r="C78" s="36">
        <v>1</v>
      </c>
      <c r="D78" s="36">
        <v>1</v>
      </c>
      <c r="E78" s="36">
        <v>1</v>
      </c>
      <c r="F78" s="36">
        <v>1</v>
      </c>
      <c r="G78" s="36">
        <v>1</v>
      </c>
      <c r="H78" s="36">
        <v>1</v>
      </c>
      <c r="I78" s="36">
        <v>1</v>
      </c>
      <c r="J78" s="36">
        <v>1</v>
      </c>
      <c r="K78" s="36">
        <v>1</v>
      </c>
      <c r="L78" s="37">
        <f t="shared" si="16"/>
        <v>100</v>
      </c>
      <c r="N78" s="32">
        <v>1</v>
      </c>
    </row>
    <row r="79" spans="1:14" ht="13.15" x14ac:dyDescent="0.4">
      <c r="A79" s="5" t="s">
        <v>94</v>
      </c>
      <c r="B79" s="36">
        <v>1</v>
      </c>
      <c r="C79" s="36">
        <v>1</v>
      </c>
      <c r="D79" s="36">
        <v>1</v>
      </c>
      <c r="E79" s="36">
        <v>1</v>
      </c>
      <c r="F79" s="36">
        <v>1</v>
      </c>
      <c r="G79" s="36">
        <v>1</v>
      </c>
      <c r="H79" s="36">
        <v>1</v>
      </c>
      <c r="I79" s="36">
        <v>1</v>
      </c>
      <c r="J79" s="36">
        <v>1</v>
      </c>
      <c r="K79" s="36">
        <v>1</v>
      </c>
      <c r="L79" s="37">
        <f t="shared" si="16"/>
        <v>100</v>
      </c>
      <c r="N79" s="32">
        <v>2</v>
      </c>
    </row>
    <row r="80" spans="1:14" ht="13.15" x14ac:dyDescent="0.4">
      <c r="A80" s="5" t="s">
        <v>140</v>
      </c>
      <c r="B80" s="36">
        <v>1</v>
      </c>
      <c r="C80" s="36">
        <v>1</v>
      </c>
      <c r="D80" s="36">
        <v>1</v>
      </c>
      <c r="E80" s="36">
        <v>1</v>
      </c>
      <c r="F80" s="36">
        <v>1</v>
      </c>
      <c r="G80" s="36">
        <v>1</v>
      </c>
      <c r="H80" s="36">
        <v>1</v>
      </c>
      <c r="I80" s="36">
        <v>1</v>
      </c>
      <c r="J80" s="36">
        <v>1</v>
      </c>
      <c r="K80" s="36">
        <v>1</v>
      </c>
      <c r="L80" s="37">
        <f t="shared" si="16"/>
        <v>100</v>
      </c>
      <c r="N80" s="32">
        <v>7</v>
      </c>
    </row>
    <row r="81" spans="1:14" ht="13.15" x14ac:dyDescent="0.4">
      <c r="A81" s="5" t="s">
        <v>95</v>
      </c>
      <c r="B81" s="36">
        <v>1</v>
      </c>
      <c r="C81" s="36">
        <v>1</v>
      </c>
      <c r="D81" s="36">
        <v>1</v>
      </c>
      <c r="E81" s="36">
        <v>1</v>
      </c>
      <c r="F81" s="36">
        <v>1</v>
      </c>
      <c r="G81" s="36">
        <v>1</v>
      </c>
      <c r="H81" s="36">
        <v>1</v>
      </c>
      <c r="I81" s="36">
        <v>1</v>
      </c>
      <c r="J81" s="36">
        <v>1</v>
      </c>
      <c r="K81" s="36">
        <v>1</v>
      </c>
      <c r="L81" s="37">
        <f t="shared" si="16"/>
        <v>100</v>
      </c>
      <c r="N81" s="32">
        <v>2</v>
      </c>
    </row>
    <row r="82" spans="1:14" ht="13.15" x14ac:dyDescent="0.4">
      <c r="A82" s="5" t="s">
        <v>96</v>
      </c>
      <c r="B82" s="36">
        <v>1</v>
      </c>
      <c r="C82" s="36">
        <v>1</v>
      </c>
      <c r="D82" s="36">
        <v>1</v>
      </c>
      <c r="E82" s="36">
        <v>1</v>
      </c>
      <c r="F82" s="36">
        <v>1</v>
      </c>
      <c r="G82" s="36">
        <v>1</v>
      </c>
      <c r="H82" s="36">
        <v>1</v>
      </c>
      <c r="I82" s="36">
        <v>1</v>
      </c>
      <c r="J82" s="36">
        <v>1</v>
      </c>
      <c r="K82" s="36">
        <v>1</v>
      </c>
      <c r="L82" s="37">
        <f t="shared" si="16"/>
        <v>100</v>
      </c>
      <c r="N82" s="32">
        <v>2</v>
      </c>
    </row>
    <row r="83" spans="1:14" ht="13.15" x14ac:dyDescent="0.4">
      <c r="A83" s="5" t="s">
        <v>141</v>
      </c>
      <c r="B83" s="36">
        <v>0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7">
        <f t="shared" si="16"/>
        <v>0</v>
      </c>
      <c r="N83" s="32"/>
    </row>
    <row r="84" spans="1:14" ht="13.15" x14ac:dyDescent="0.4">
      <c r="A84" s="5" t="s">
        <v>142</v>
      </c>
      <c r="B84" s="36">
        <v>1</v>
      </c>
      <c r="C84" s="36">
        <v>1</v>
      </c>
      <c r="D84" s="36">
        <v>1</v>
      </c>
      <c r="E84" s="36">
        <v>1</v>
      </c>
      <c r="F84" s="36">
        <v>1</v>
      </c>
      <c r="G84" s="36">
        <v>1</v>
      </c>
      <c r="H84" s="36">
        <v>1</v>
      </c>
      <c r="I84" s="36">
        <v>1</v>
      </c>
      <c r="J84" s="36">
        <v>1</v>
      </c>
      <c r="K84" s="36">
        <v>1</v>
      </c>
      <c r="L84" s="37">
        <f t="shared" si="16"/>
        <v>100</v>
      </c>
      <c r="N84" s="32">
        <v>3</v>
      </c>
    </row>
    <row r="85" spans="1:14" ht="13.15" x14ac:dyDescent="0.4">
      <c r="A85" s="5" t="s">
        <v>143</v>
      </c>
      <c r="B85" s="36">
        <v>1</v>
      </c>
      <c r="C85" s="36">
        <v>1</v>
      </c>
      <c r="D85" s="36">
        <v>1</v>
      </c>
      <c r="E85" s="36">
        <v>1</v>
      </c>
      <c r="F85" s="36">
        <v>1</v>
      </c>
      <c r="G85" s="36">
        <v>1</v>
      </c>
      <c r="H85" s="36">
        <v>1</v>
      </c>
      <c r="I85" s="36">
        <v>1</v>
      </c>
      <c r="J85" s="36">
        <v>1</v>
      </c>
      <c r="K85" s="36">
        <v>1</v>
      </c>
      <c r="L85" s="37">
        <f t="shared" si="16"/>
        <v>100</v>
      </c>
      <c r="N85" s="32">
        <v>3</v>
      </c>
    </row>
    <row r="86" spans="1:14" ht="13.15" x14ac:dyDescent="0.4">
      <c r="A86" s="5" t="s">
        <v>97</v>
      </c>
      <c r="B86" s="36">
        <v>1</v>
      </c>
      <c r="C86" s="36">
        <v>1</v>
      </c>
      <c r="D86" s="36">
        <v>1</v>
      </c>
      <c r="E86" s="36">
        <v>1</v>
      </c>
      <c r="F86" s="36">
        <v>1</v>
      </c>
      <c r="G86" s="36">
        <v>1</v>
      </c>
      <c r="H86" s="36">
        <v>1</v>
      </c>
      <c r="I86" s="36">
        <v>1</v>
      </c>
      <c r="J86" s="36">
        <v>1</v>
      </c>
      <c r="K86" s="36">
        <v>1</v>
      </c>
      <c r="L86" s="37">
        <f t="shared" si="16"/>
        <v>100</v>
      </c>
      <c r="N86" s="32">
        <v>1</v>
      </c>
    </row>
    <row r="87" spans="1:14" ht="13.15" x14ac:dyDescent="0.4">
      <c r="A87" s="5" t="s">
        <v>98</v>
      </c>
      <c r="B87" s="36">
        <v>1</v>
      </c>
      <c r="C87" s="36">
        <v>1</v>
      </c>
      <c r="D87" s="36">
        <v>1</v>
      </c>
      <c r="E87" s="36">
        <v>1</v>
      </c>
      <c r="F87" s="36">
        <v>1</v>
      </c>
      <c r="G87" s="36">
        <v>1</v>
      </c>
      <c r="H87" s="36">
        <v>1</v>
      </c>
      <c r="I87" s="36">
        <v>1</v>
      </c>
      <c r="J87" s="36">
        <v>1</v>
      </c>
      <c r="K87" s="36">
        <v>1</v>
      </c>
      <c r="L87" s="37">
        <f t="shared" si="16"/>
        <v>100</v>
      </c>
      <c r="N87" s="32">
        <v>5</v>
      </c>
    </row>
    <row r="88" spans="1:14" ht="13.15" x14ac:dyDescent="0.4">
      <c r="A88" s="5" t="s">
        <v>144</v>
      </c>
      <c r="B88" s="36">
        <v>1</v>
      </c>
      <c r="C88" s="36">
        <v>1</v>
      </c>
      <c r="D88" s="36">
        <v>1</v>
      </c>
      <c r="E88" s="36">
        <v>1</v>
      </c>
      <c r="F88" s="36">
        <v>1</v>
      </c>
      <c r="G88" s="36">
        <v>1</v>
      </c>
      <c r="H88" s="36">
        <v>1</v>
      </c>
      <c r="I88" s="36">
        <v>1</v>
      </c>
      <c r="J88" s="36">
        <v>1</v>
      </c>
      <c r="K88" s="36">
        <v>1</v>
      </c>
      <c r="L88" s="37">
        <f t="shared" si="16"/>
        <v>100</v>
      </c>
      <c r="N88" s="32">
        <v>4</v>
      </c>
    </row>
    <row r="89" spans="1:14" ht="13.15" x14ac:dyDescent="0.4">
      <c r="A89" s="5" t="s">
        <v>99</v>
      </c>
      <c r="B89" s="36">
        <v>1</v>
      </c>
      <c r="C89" s="36">
        <v>1</v>
      </c>
      <c r="D89" s="36">
        <v>1</v>
      </c>
      <c r="E89" s="36">
        <v>1</v>
      </c>
      <c r="F89" s="36">
        <v>1</v>
      </c>
      <c r="G89" s="36">
        <v>1</v>
      </c>
      <c r="H89" s="36">
        <v>1</v>
      </c>
      <c r="I89" s="36">
        <v>1</v>
      </c>
      <c r="J89" s="36">
        <v>1</v>
      </c>
      <c r="K89" s="36">
        <v>1</v>
      </c>
      <c r="L89" s="37">
        <f t="shared" si="16"/>
        <v>100</v>
      </c>
      <c r="N89" s="32">
        <v>7</v>
      </c>
    </row>
    <row r="90" spans="1:14" ht="13.15" x14ac:dyDescent="0.4">
      <c r="A90" s="5" t="s">
        <v>100</v>
      </c>
      <c r="B90" s="36">
        <v>1</v>
      </c>
      <c r="C90" s="36">
        <v>1</v>
      </c>
      <c r="D90" s="36">
        <v>1</v>
      </c>
      <c r="E90" s="36">
        <v>1</v>
      </c>
      <c r="F90" s="36">
        <v>1</v>
      </c>
      <c r="G90" s="36">
        <v>1</v>
      </c>
      <c r="H90" s="36">
        <v>1</v>
      </c>
      <c r="I90" s="36">
        <v>1</v>
      </c>
      <c r="J90" s="36">
        <v>1</v>
      </c>
      <c r="K90" s="36">
        <v>1</v>
      </c>
      <c r="L90" s="37">
        <f t="shared" si="16"/>
        <v>100</v>
      </c>
      <c r="N90" s="32">
        <v>6</v>
      </c>
    </row>
  </sheetData>
  <sheetProtection selectLockedCells="1" selectUnlockedCells="1"/>
  <mergeCells count="3">
    <mergeCell ref="A1:K1"/>
    <mergeCell ref="A32:F32"/>
    <mergeCell ref="A62:L62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90"/>
  <sheetViews>
    <sheetView workbookViewId="0">
      <pane xSplit="1" ySplit="3" topLeftCell="B4" activePane="bottomRight" state="frozen"/>
      <selection pane="topRight" activeCell="C1" sqref="C1"/>
      <selection pane="bottomLeft" activeCell="A27" sqref="A27"/>
      <selection pane="bottomRight" activeCell="F9" sqref="F9"/>
    </sheetView>
  </sheetViews>
  <sheetFormatPr baseColWidth="10" defaultColWidth="11.3984375" defaultRowHeight="12.75" x14ac:dyDescent="0.35"/>
  <cols>
    <col min="1" max="1" width="7.73046875" style="11" customWidth="1"/>
    <col min="2" max="8" width="10.73046875" style="11" customWidth="1"/>
    <col min="9" max="11" width="15.73046875" style="11" customWidth="1"/>
    <col min="12" max="12" width="15.265625" style="11" bestFit="1" customWidth="1"/>
    <col min="13" max="13" width="16" style="11" bestFit="1" customWidth="1"/>
    <col min="14" max="16" width="10.59765625" style="11" customWidth="1"/>
    <col min="17" max="17" width="35.33203125" style="11" bestFit="1" customWidth="1"/>
    <col min="18" max="22" width="10.59765625" style="11" customWidth="1"/>
    <col min="23" max="16384" width="11.3984375" style="11"/>
  </cols>
  <sheetData>
    <row r="1" spans="1:19" ht="15" x14ac:dyDescent="0.4">
      <c r="A1" s="73" t="s">
        <v>43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9" ht="13.15" x14ac:dyDescent="0.4">
      <c r="A2" s="12"/>
      <c r="B2" s="13"/>
      <c r="C2" s="14"/>
      <c r="D2" s="14"/>
      <c r="E2" s="14"/>
      <c r="F2" s="14"/>
      <c r="G2" s="14"/>
      <c r="H2" s="14"/>
      <c r="I2" s="14"/>
      <c r="J2" s="17"/>
      <c r="K2" s="17"/>
    </row>
    <row r="3" spans="1:19" x14ac:dyDescent="0.35">
      <c r="A3" s="21" t="s">
        <v>2</v>
      </c>
      <c r="B3" s="21">
        <v>1</v>
      </c>
      <c r="C3" s="21">
        <v>2</v>
      </c>
      <c r="D3" s="21">
        <v>3</v>
      </c>
      <c r="E3" s="21">
        <v>4</v>
      </c>
      <c r="F3" s="21">
        <v>5</v>
      </c>
      <c r="G3" s="21">
        <v>6</v>
      </c>
      <c r="H3" s="21">
        <v>7</v>
      </c>
      <c r="I3" s="21" t="s">
        <v>27</v>
      </c>
      <c r="J3" s="21" t="s">
        <v>29</v>
      </c>
      <c r="K3" s="21" t="s">
        <v>30</v>
      </c>
      <c r="L3" s="45" t="s">
        <v>76</v>
      </c>
      <c r="M3" s="46" t="s">
        <v>77</v>
      </c>
      <c r="Q3" s="15" t="s">
        <v>19</v>
      </c>
      <c r="R3" s="15" t="s">
        <v>20</v>
      </c>
      <c r="S3" s="15" t="s">
        <v>78</v>
      </c>
    </row>
    <row r="4" spans="1:19" ht="13.15" x14ac:dyDescent="0.4">
      <c r="A4" s="5" t="s">
        <v>81</v>
      </c>
      <c r="B4" s="22">
        <v>100</v>
      </c>
      <c r="C4" s="22">
        <v>100</v>
      </c>
      <c r="D4" s="22">
        <v>100</v>
      </c>
      <c r="E4" s="22">
        <v>100</v>
      </c>
      <c r="F4" s="22">
        <v>97</v>
      </c>
      <c r="G4" s="22">
        <v>100</v>
      </c>
      <c r="H4" s="22">
        <f>P64</f>
        <v>100</v>
      </c>
      <c r="I4" s="16">
        <f>B4*0.2+C4*0.05+D4*0.05+E4*0.3+F4*0.3+G4*0.05+H4*0.05</f>
        <v>99.1</v>
      </c>
      <c r="J4" s="16">
        <f>C4*0.05+E4*0.3+F4*0.3+G4*0.05</f>
        <v>69.099999999999994</v>
      </c>
      <c r="K4" s="16">
        <f>B4*0.2+D4*0.05+H4*0.05</f>
        <v>30</v>
      </c>
      <c r="L4" s="47">
        <f>F34</f>
        <v>100</v>
      </c>
      <c r="M4" s="9">
        <f>AVERAGE(L4,I4)</f>
        <v>99.55</v>
      </c>
      <c r="O4" s="32">
        <v>5</v>
      </c>
      <c r="Q4" s="6" t="s">
        <v>31</v>
      </c>
      <c r="R4" s="18">
        <v>20</v>
      </c>
      <c r="S4" s="51">
        <f t="shared" ref="S4:S10" si="0">R4*10/$R$11/100</f>
        <v>0.02</v>
      </c>
    </row>
    <row r="5" spans="1:19" ht="13.15" x14ac:dyDescent="0.4">
      <c r="A5" s="5" t="s">
        <v>82</v>
      </c>
      <c r="B5" s="22">
        <v>100</v>
      </c>
      <c r="C5" s="22">
        <v>100</v>
      </c>
      <c r="D5" s="22">
        <v>100</v>
      </c>
      <c r="E5" s="22">
        <v>0</v>
      </c>
      <c r="F5" s="22">
        <v>95.24</v>
      </c>
      <c r="G5" s="22">
        <v>100</v>
      </c>
      <c r="H5" s="22">
        <f>P65</f>
        <v>100</v>
      </c>
      <c r="I5" s="16">
        <f t="shared" ref="I5:I6" si="1">B5*0.2+C5*0.05+D5*0.05+E5*0.3+F5*0.3+G5*0.05+H5*0.05</f>
        <v>68.572000000000003</v>
      </c>
      <c r="J5" s="16">
        <f t="shared" ref="J5:J6" si="2">C5*0.05+E5*0.3+F5*0.3+G5*0.05</f>
        <v>38.572000000000003</v>
      </c>
      <c r="K5" s="16">
        <f t="shared" ref="K5:K6" si="3">B5*0.2+D5*0.05+H5*0.05</f>
        <v>30</v>
      </c>
      <c r="L5" s="47">
        <f>F35</f>
        <v>100</v>
      </c>
      <c r="M5" s="9">
        <f t="shared" ref="M5:M6" si="4">AVERAGE(L5,I5)</f>
        <v>84.286000000000001</v>
      </c>
      <c r="O5" s="32">
        <v>6</v>
      </c>
      <c r="Q5" s="6" t="s">
        <v>32</v>
      </c>
      <c r="R5" s="18">
        <v>5</v>
      </c>
      <c r="S5" s="51">
        <f t="shared" si="0"/>
        <v>5.0000000000000001E-3</v>
      </c>
    </row>
    <row r="6" spans="1:19" ht="13.15" x14ac:dyDescent="0.4">
      <c r="A6" s="5" t="s">
        <v>83</v>
      </c>
      <c r="B6" s="22">
        <v>100</v>
      </c>
      <c r="C6" s="22">
        <v>100</v>
      </c>
      <c r="D6" s="22">
        <v>100</v>
      </c>
      <c r="E6" s="22">
        <v>100</v>
      </c>
      <c r="F6" s="22">
        <v>97</v>
      </c>
      <c r="G6" s="22">
        <v>100</v>
      </c>
      <c r="H6" s="22">
        <f>P66</f>
        <v>0</v>
      </c>
      <c r="I6" s="16">
        <f t="shared" si="1"/>
        <v>94.1</v>
      </c>
      <c r="J6" s="16">
        <f t="shared" si="2"/>
        <v>69.099999999999994</v>
      </c>
      <c r="K6" s="16">
        <f t="shared" si="3"/>
        <v>25</v>
      </c>
      <c r="L6" s="47">
        <f>F36</f>
        <v>100</v>
      </c>
      <c r="M6" s="9">
        <f t="shared" si="4"/>
        <v>97.05</v>
      </c>
      <c r="O6" s="32">
        <v>5</v>
      </c>
      <c r="Q6" s="6" t="s">
        <v>33</v>
      </c>
      <c r="R6" s="18">
        <v>5</v>
      </c>
      <c r="S6" s="51">
        <f t="shared" si="0"/>
        <v>5.0000000000000001E-3</v>
      </c>
    </row>
    <row r="7" spans="1:19" ht="13.15" x14ac:dyDescent="0.4">
      <c r="A7" s="5" t="s">
        <v>84</v>
      </c>
      <c r="B7" s="22">
        <v>100</v>
      </c>
      <c r="C7" s="22">
        <v>100</v>
      </c>
      <c r="D7" s="22">
        <v>100</v>
      </c>
      <c r="E7" s="22">
        <v>100</v>
      </c>
      <c r="F7" s="22">
        <v>91</v>
      </c>
      <c r="G7" s="22">
        <v>100</v>
      </c>
      <c r="H7" s="22">
        <f t="shared" ref="H7:H30" si="5">P67</f>
        <v>100</v>
      </c>
      <c r="I7" s="16">
        <f t="shared" ref="I7:I30" si="6">B7*0.2+C7*0.05+D7*0.05+E7*0.3+F7*0.3+G7*0.05+H7*0.05</f>
        <v>97.3</v>
      </c>
      <c r="J7" s="16">
        <f t="shared" ref="J7:J30" si="7">C7*0.05+E7*0.3+F7*0.3+G7*0.05</f>
        <v>67.3</v>
      </c>
      <c r="K7" s="16">
        <f t="shared" ref="K7:K30" si="8">B7*0.2+D7*0.05+H7*0.05</f>
        <v>30</v>
      </c>
      <c r="L7" s="47">
        <f t="shared" ref="L7:L30" si="9">F37</f>
        <v>100</v>
      </c>
      <c r="M7" s="9">
        <f t="shared" ref="M7:M30" si="10">AVERAGE(L7,I7)</f>
        <v>98.65</v>
      </c>
      <c r="O7" s="32">
        <v>2</v>
      </c>
      <c r="Q7" s="6" t="s">
        <v>34</v>
      </c>
      <c r="R7" s="18">
        <v>30</v>
      </c>
      <c r="S7" s="51">
        <f t="shared" si="0"/>
        <v>0.03</v>
      </c>
    </row>
    <row r="8" spans="1:19" ht="13.15" x14ac:dyDescent="0.4">
      <c r="A8" s="5" t="s">
        <v>138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f t="shared" si="5"/>
        <v>100</v>
      </c>
      <c r="I8" s="16">
        <f t="shared" si="6"/>
        <v>5</v>
      </c>
      <c r="J8" s="16">
        <f t="shared" si="7"/>
        <v>0</v>
      </c>
      <c r="K8" s="16">
        <f t="shared" si="8"/>
        <v>5</v>
      </c>
      <c r="L8" s="47">
        <f t="shared" si="9"/>
        <v>0</v>
      </c>
      <c r="M8" s="9">
        <f t="shared" si="10"/>
        <v>2.5</v>
      </c>
      <c r="O8" s="32">
        <v>3</v>
      </c>
      <c r="Q8" s="6" t="s">
        <v>35</v>
      </c>
      <c r="R8" s="18">
        <v>30</v>
      </c>
      <c r="S8" s="51">
        <f t="shared" si="0"/>
        <v>0.03</v>
      </c>
    </row>
    <row r="9" spans="1:19" ht="13.15" x14ac:dyDescent="0.4">
      <c r="A9" s="5" t="s">
        <v>85</v>
      </c>
      <c r="B9" s="22">
        <v>100</v>
      </c>
      <c r="C9" s="22">
        <v>100</v>
      </c>
      <c r="D9" s="22">
        <v>100</v>
      </c>
      <c r="E9" s="22">
        <v>100</v>
      </c>
      <c r="F9" s="22">
        <v>97</v>
      </c>
      <c r="G9" s="22">
        <v>100</v>
      </c>
      <c r="H9" s="22">
        <f t="shared" si="5"/>
        <v>100</v>
      </c>
      <c r="I9" s="16">
        <f t="shared" si="6"/>
        <v>99.1</v>
      </c>
      <c r="J9" s="16">
        <f t="shared" si="7"/>
        <v>69.099999999999994</v>
      </c>
      <c r="K9" s="16">
        <f t="shared" si="8"/>
        <v>30</v>
      </c>
      <c r="L9" s="47">
        <f t="shared" si="9"/>
        <v>100</v>
      </c>
      <c r="M9" s="9">
        <f t="shared" si="10"/>
        <v>99.55</v>
      </c>
      <c r="O9" s="32">
        <v>5</v>
      </c>
      <c r="Q9" s="6" t="s">
        <v>36</v>
      </c>
      <c r="R9" s="18">
        <v>5</v>
      </c>
      <c r="S9" s="51">
        <f t="shared" si="0"/>
        <v>5.0000000000000001E-3</v>
      </c>
    </row>
    <row r="10" spans="1:19" ht="13.15" x14ac:dyDescent="0.4">
      <c r="A10" s="5" t="s">
        <v>86</v>
      </c>
      <c r="B10" s="22">
        <v>100</v>
      </c>
      <c r="C10" s="22">
        <v>100</v>
      </c>
      <c r="D10" s="22">
        <v>100</v>
      </c>
      <c r="E10" s="22">
        <v>100</v>
      </c>
      <c r="F10" s="22">
        <v>93</v>
      </c>
      <c r="G10" s="22">
        <v>100</v>
      </c>
      <c r="H10" s="22">
        <f t="shared" si="5"/>
        <v>100</v>
      </c>
      <c r="I10" s="16">
        <f t="shared" si="6"/>
        <v>97.9</v>
      </c>
      <c r="J10" s="16">
        <f t="shared" si="7"/>
        <v>67.900000000000006</v>
      </c>
      <c r="K10" s="16">
        <f t="shared" si="8"/>
        <v>30</v>
      </c>
      <c r="L10" s="47">
        <f t="shared" si="9"/>
        <v>100</v>
      </c>
      <c r="M10" s="9">
        <f t="shared" si="10"/>
        <v>98.95</v>
      </c>
      <c r="O10" s="32">
        <v>1</v>
      </c>
      <c r="Q10" s="6" t="s">
        <v>75</v>
      </c>
      <c r="R10" s="18">
        <v>5</v>
      </c>
      <c r="S10" s="51">
        <f t="shared" si="0"/>
        <v>5.0000000000000001E-3</v>
      </c>
    </row>
    <row r="11" spans="1:19" ht="13.15" x14ac:dyDescent="0.4">
      <c r="A11" s="5" t="s">
        <v>87</v>
      </c>
      <c r="B11" s="22">
        <v>100</v>
      </c>
      <c r="C11" s="22">
        <v>100</v>
      </c>
      <c r="D11" s="22">
        <v>100</v>
      </c>
      <c r="E11" s="22">
        <v>100</v>
      </c>
      <c r="F11" s="22">
        <v>87</v>
      </c>
      <c r="G11" s="22">
        <v>100</v>
      </c>
      <c r="H11" s="22">
        <f t="shared" si="5"/>
        <v>100</v>
      </c>
      <c r="I11" s="16">
        <f t="shared" si="6"/>
        <v>96.1</v>
      </c>
      <c r="J11" s="16">
        <f t="shared" si="7"/>
        <v>66.099999999999994</v>
      </c>
      <c r="K11" s="16">
        <f t="shared" si="8"/>
        <v>30</v>
      </c>
      <c r="L11" s="47">
        <f t="shared" si="9"/>
        <v>100</v>
      </c>
      <c r="M11" s="9">
        <f t="shared" si="10"/>
        <v>98.05</v>
      </c>
      <c r="O11" s="32">
        <v>7</v>
      </c>
      <c r="Q11" s="19" t="s">
        <v>21</v>
      </c>
      <c r="R11" s="20">
        <f>SUM(R4:R10)</f>
        <v>100</v>
      </c>
      <c r="S11" s="50">
        <f>SUM(S4:S10)</f>
        <v>0.1</v>
      </c>
    </row>
    <row r="12" spans="1:19" ht="13.15" x14ac:dyDescent="0.4">
      <c r="A12" s="5" t="s">
        <v>88</v>
      </c>
      <c r="B12" s="22">
        <v>100</v>
      </c>
      <c r="C12" s="22">
        <v>100</v>
      </c>
      <c r="D12" s="22">
        <v>100</v>
      </c>
      <c r="E12" s="22">
        <v>100</v>
      </c>
      <c r="F12" s="22">
        <v>93</v>
      </c>
      <c r="G12" s="22">
        <v>100</v>
      </c>
      <c r="H12" s="22">
        <f t="shared" si="5"/>
        <v>100</v>
      </c>
      <c r="I12" s="16">
        <f t="shared" si="6"/>
        <v>97.9</v>
      </c>
      <c r="J12" s="16">
        <f t="shared" si="7"/>
        <v>67.900000000000006</v>
      </c>
      <c r="K12" s="16">
        <f t="shared" si="8"/>
        <v>30</v>
      </c>
      <c r="L12" s="47">
        <f t="shared" si="9"/>
        <v>100</v>
      </c>
      <c r="M12" s="9">
        <f t="shared" si="10"/>
        <v>98.95</v>
      </c>
      <c r="O12" s="32">
        <v>1</v>
      </c>
    </row>
    <row r="13" spans="1:19" ht="13.15" x14ac:dyDescent="0.4">
      <c r="A13" s="5" t="s">
        <v>139</v>
      </c>
      <c r="B13" s="22">
        <v>100</v>
      </c>
      <c r="C13" s="22">
        <v>100</v>
      </c>
      <c r="D13" s="22">
        <v>100</v>
      </c>
      <c r="E13" s="22">
        <v>100</v>
      </c>
      <c r="F13" s="22">
        <v>93</v>
      </c>
      <c r="G13" s="22">
        <v>100</v>
      </c>
      <c r="H13" s="22">
        <f t="shared" si="5"/>
        <v>100</v>
      </c>
      <c r="I13" s="16">
        <f t="shared" si="6"/>
        <v>97.9</v>
      </c>
      <c r="J13" s="16">
        <f t="shared" si="7"/>
        <v>67.900000000000006</v>
      </c>
      <c r="K13" s="16">
        <f t="shared" si="8"/>
        <v>30</v>
      </c>
      <c r="L13" s="47">
        <f t="shared" si="9"/>
        <v>100</v>
      </c>
      <c r="M13" s="9">
        <f t="shared" si="10"/>
        <v>98.95</v>
      </c>
      <c r="O13" s="32">
        <v>4</v>
      </c>
    </row>
    <row r="14" spans="1:19" ht="13.15" x14ac:dyDescent="0.4">
      <c r="A14" s="5" t="s">
        <v>89</v>
      </c>
      <c r="B14" s="22">
        <v>100</v>
      </c>
      <c r="C14" s="22">
        <v>100</v>
      </c>
      <c r="D14" s="22">
        <v>100</v>
      </c>
      <c r="E14" s="22">
        <v>0</v>
      </c>
      <c r="F14" s="22">
        <v>95.24</v>
      </c>
      <c r="G14" s="22">
        <v>100</v>
      </c>
      <c r="H14" s="22">
        <f t="shared" si="5"/>
        <v>100</v>
      </c>
      <c r="I14" s="16">
        <f t="shared" si="6"/>
        <v>68.572000000000003</v>
      </c>
      <c r="J14" s="16">
        <f t="shared" si="7"/>
        <v>38.572000000000003</v>
      </c>
      <c r="K14" s="16">
        <f t="shared" si="8"/>
        <v>30</v>
      </c>
      <c r="L14" s="47">
        <f t="shared" si="9"/>
        <v>100</v>
      </c>
      <c r="M14" s="9">
        <f t="shared" si="10"/>
        <v>84.286000000000001</v>
      </c>
      <c r="O14" s="32">
        <v>6</v>
      </c>
    </row>
    <row r="15" spans="1:19" ht="13.15" x14ac:dyDescent="0.4">
      <c r="A15" s="5" t="s">
        <v>90</v>
      </c>
      <c r="B15" s="22">
        <v>100</v>
      </c>
      <c r="C15" s="22">
        <v>100</v>
      </c>
      <c r="D15" s="22">
        <v>100</v>
      </c>
      <c r="E15" s="22">
        <v>100</v>
      </c>
      <c r="F15" s="22">
        <v>93</v>
      </c>
      <c r="G15" s="22">
        <v>100</v>
      </c>
      <c r="H15" s="22">
        <f t="shared" si="5"/>
        <v>100</v>
      </c>
      <c r="I15" s="16">
        <f t="shared" si="6"/>
        <v>97.9</v>
      </c>
      <c r="J15" s="16">
        <f t="shared" si="7"/>
        <v>67.900000000000006</v>
      </c>
      <c r="K15" s="16">
        <f t="shared" si="8"/>
        <v>30</v>
      </c>
      <c r="L15" s="47">
        <f t="shared" si="9"/>
        <v>100</v>
      </c>
      <c r="M15" s="9">
        <f t="shared" si="10"/>
        <v>98.95</v>
      </c>
      <c r="O15" s="32">
        <v>4</v>
      </c>
    </row>
    <row r="16" spans="1:19" ht="13.15" x14ac:dyDescent="0.4">
      <c r="A16" s="5" t="s">
        <v>91</v>
      </c>
      <c r="B16" s="22">
        <v>100</v>
      </c>
      <c r="C16" s="22">
        <v>100</v>
      </c>
      <c r="D16" s="22">
        <v>100</v>
      </c>
      <c r="E16" s="22">
        <v>0</v>
      </c>
      <c r="F16" s="22">
        <v>95.24</v>
      </c>
      <c r="G16" s="22">
        <v>100</v>
      </c>
      <c r="H16" s="22">
        <f t="shared" si="5"/>
        <v>100</v>
      </c>
      <c r="I16" s="16">
        <f t="shared" si="6"/>
        <v>68.572000000000003</v>
      </c>
      <c r="J16" s="16">
        <f t="shared" si="7"/>
        <v>38.572000000000003</v>
      </c>
      <c r="K16" s="16">
        <f t="shared" si="8"/>
        <v>30</v>
      </c>
      <c r="L16" s="47">
        <f t="shared" si="9"/>
        <v>100</v>
      </c>
      <c r="M16" s="9">
        <f t="shared" si="10"/>
        <v>84.286000000000001</v>
      </c>
      <c r="O16" s="32">
        <v>6</v>
      </c>
    </row>
    <row r="17" spans="1:15" ht="13.15" x14ac:dyDescent="0.4">
      <c r="A17" s="5" t="s">
        <v>92</v>
      </c>
      <c r="B17" s="22">
        <v>100</v>
      </c>
      <c r="C17" s="22">
        <v>100</v>
      </c>
      <c r="D17" s="22">
        <v>100</v>
      </c>
      <c r="E17" s="22">
        <v>100</v>
      </c>
      <c r="F17" s="22">
        <v>87</v>
      </c>
      <c r="G17" s="22">
        <v>100</v>
      </c>
      <c r="H17" s="22">
        <f t="shared" si="5"/>
        <v>100</v>
      </c>
      <c r="I17" s="16">
        <f t="shared" si="6"/>
        <v>96.1</v>
      </c>
      <c r="J17" s="16">
        <f t="shared" si="7"/>
        <v>66.099999999999994</v>
      </c>
      <c r="K17" s="16">
        <f t="shared" si="8"/>
        <v>30</v>
      </c>
      <c r="L17" s="47">
        <f t="shared" si="9"/>
        <v>100</v>
      </c>
      <c r="M17" s="9">
        <f t="shared" si="10"/>
        <v>98.05</v>
      </c>
      <c r="O17" s="32">
        <v>7</v>
      </c>
    </row>
    <row r="18" spans="1:15" ht="13.15" x14ac:dyDescent="0.4">
      <c r="A18" s="5" t="s">
        <v>93</v>
      </c>
      <c r="B18" s="22">
        <v>100</v>
      </c>
      <c r="C18" s="22">
        <v>100</v>
      </c>
      <c r="D18" s="22">
        <v>100</v>
      </c>
      <c r="E18" s="22">
        <v>100</v>
      </c>
      <c r="F18" s="22">
        <v>93</v>
      </c>
      <c r="G18" s="22">
        <v>100</v>
      </c>
      <c r="H18" s="22">
        <f t="shared" si="5"/>
        <v>100</v>
      </c>
      <c r="I18" s="16">
        <f t="shared" si="6"/>
        <v>97.9</v>
      </c>
      <c r="J18" s="16">
        <f t="shared" si="7"/>
        <v>67.900000000000006</v>
      </c>
      <c r="K18" s="16">
        <f t="shared" si="8"/>
        <v>30</v>
      </c>
      <c r="L18" s="47">
        <f t="shared" si="9"/>
        <v>100</v>
      </c>
      <c r="M18" s="9">
        <f t="shared" si="10"/>
        <v>98.95</v>
      </c>
      <c r="O18" s="32">
        <v>1</v>
      </c>
    </row>
    <row r="19" spans="1:15" ht="13.15" x14ac:dyDescent="0.4">
      <c r="A19" s="5" t="s">
        <v>94</v>
      </c>
      <c r="B19" s="22">
        <v>100</v>
      </c>
      <c r="C19" s="22">
        <v>100</v>
      </c>
      <c r="D19" s="22">
        <v>100</v>
      </c>
      <c r="E19" s="22">
        <v>100</v>
      </c>
      <c r="F19" s="22">
        <v>91</v>
      </c>
      <c r="G19" s="22">
        <v>100</v>
      </c>
      <c r="H19" s="22">
        <f t="shared" si="5"/>
        <v>100</v>
      </c>
      <c r="I19" s="16">
        <f t="shared" si="6"/>
        <v>97.3</v>
      </c>
      <c r="J19" s="16">
        <f t="shared" si="7"/>
        <v>67.3</v>
      </c>
      <c r="K19" s="16">
        <f t="shared" si="8"/>
        <v>30</v>
      </c>
      <c r="L19" s="47">
        <f t="shared" si="9"/>
        <v>98.333333333333329</v>
      </c>
      <c r="M19" s="9">
        <f t="shared" si="10"/>
        <v>97.816666666666663</v>
      </c>
      <c r="O19" s="32">
        <v>2</v>
      </c>
    </row>
    <row r="20" spans="1:15" ht="13.15" x14ac:dyDescent="0.4">
      <c r="A20" s="5" t="s">
        <v>140</v>
      </c>
      <c r="B20" s="22">
        <v>100</v>
      </c>
      <c r="C20" s="22">
        <v>100</v>
      </c>
      <c r="D20" s="22">
        <v>100</v>
      </c>
      <c r="E20" s="22">
        <v>100</v>
      </c>
      <c r="F20" s="22">
        <v>87</v>
      </c>
      <c r="G20" s="22">
        <v>100</v>
      </c>
      <c r="H20" s="22">
        <f t="shared" si="5"/>
        <v>100</v>
      </c>
      <c r="I20" s="16">
        <f t="shared" si="6"/>
        <v>96.1</v>
      </c>
      <c r="J20" s="16">
        <f t="shared" si="7"/>
        <v>66.099999999999994</v>
      </c>
      <c r="K20" s="16">
        <f t="shared" si="8"/>
        <v>30</v>
      </c>
      <c r="L20" s="47">
        <f t="shared" si="9"/>
        <v>100</v>
      </c>
      <c r="M20" s="9">
        <f t="shared" si="10"/>
        <v>98.05</v>
      </c>
      <c r="O20" s="32">
        <v>7</v>
      </c>
    </row>
    <row r="21" spans="1:15" ht="13.15" x14ac:dyDescent="0.4">
      <c r="A21" s="5" t="s">
        <v>95</v>
      </c>
      <c r="B21" s="22">
        <v>100</v>
      </c>
      <c r="C21" s="22">
        <v>100</v>
      </c>
      <c r="D21" s="22">
        <v>100</v>
      </c>
      <c r="E21" s="22">
        <v>100</v>
      </c>
      <c r="F21" s="22">
        <v>91</v>
      </c>
      <c r="G21" s="22">
        <v>100</v>
      </c>
      <c r="H21" s="22">
        <f t="shared" si="5"/>
        <v>100</v>
      </c>
      <c r="I21" s="16">
        <f t="shared" si="6"/>
        <v>97.3</v>
      </c>
      <c r="J21" s="16">
        <f t="shared" si="7"/>
        <v>67.3</v>
      </c>
      <c r="K21" s="16">
        <f t="shared" si="8"/>
        <v>30</v>
      </c>
      <c r="L21" s="47">
        <f t="shared" si="9"/>
        <v>100</v>
      </c>
      <c r="M21" s="9">
        <f t="shared" si="10"/>
        <v>98.65</v>
      </c>
      <c r="O21" s="32">
        <v>2</v>
      </c>
    </row>
    <row r="22" spans="1:15" ht="13.15" x14ac:dyDescent="0.4">
      <c r="A22" s="5" t="s">
        <v>96</v>
      </c>
      <c r="B22" s="22">
        <v>100</v>
      </c>
      <c r="C22" s="22">
        <v>100</v>
      </c>
      <c r="D22" s="22">
        <v>100</v>
      </c>
      <c r="E22" s="22">
        <v>100</v>
      </c>
      <c r="F22" s="22">
        <v>91</v>
      </c>
      <c r="G22" s="22">
        <v>100</v>
      </c>
      <c r="H22" s="22">
        <f t="shared" si="5"/>
        <v>100</v>
      </c>
      <c r="I22" s="16">
        <f t="shared" si="6"/>
        <v>97.3</v>
      </c>
      <c r="J22" s="16">
        <f t="shared" si="7"/>
        <v>67.3</v>
      </c>
      <c r="K22" s="16">
        <f t="shared" si="8"/>
        <v>30</v>
      </c>
      <c r="L22" s="47">
        <f t="shared" si="9"/>
        <v>100</v>
      </c>
      <c r="M22" s="9">
        <f t="shared" si="10"/>
        <v>98.65</v>
      </c>
      <c r="O22" s="32">
        <v>2</v>
      </c>
    </row>
    <row r="23" spans="1:15" ht="13.15" x14ac:dyDescent="0.4">
      <c r="A23" s="5" t="s">
        <v>141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 t="shared" si="5"/>
        <v>0</v>
      </c>
      <c r="I23" s="16">
        <f t="shared" si="6"/>
        <v>0</v>
      </c>
      <c r="J23" s="16">
        <f t="shared" si="7"/>
        <v>0</v>
      </c>
      <c r="K23" s="16">
        <f t="shared" si="8"/>
        <v>0</v>
      </c>
      <c r="L23" s="47">
        <f t="shared" si="9"/>
        <v>0</v>
      </c>
      <c r="M23" s="9">
        <f t="shared" si="10"/>
        <v>0</v>
      </c>
      <c r="O23" s="32"/>
    </row>
    <row r="24" spans="1:15" ht="13.15" x14ac:dyDescent="0.4">
      <c r="A24" s="5" t="s">
        <v>142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 t="shared" si="5"/>
        <v>100</v>
      </c>
      <c r="I24" s="16">
        <f t="shared" si="6"/>
        <v>5</v>
      </c>
      <c r="J24" s="16">
        <f t="shared" si="7"/>
        <v>0</v>
      </c>
      <c r="K24" s="16">
        <f t="shared" si="8"/>
        <v>5</v>
      </c>
      <c r="L24" s="47">
        <f t="shared" si="9"/>
        <v>0</v>
      </c>
      <c r="M24" s="9">
        <f t="shared" si="10"/>
        <v>2.5</v>
      </c>
      <c r="O24" s="32">
        <v>3</v>
      </c>
    </row>
    <row r="25" spans="1:15" ht="13.15" x14ac:dyDescent="0.4">
      <c r="A25" s="5" t="s">
        <v>143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si="5"/>
        <v>100</v>
      </c>
      <c r="I25" s="16">
        <f t="shared" si="6"/>
        <v>5</v>
      </c>
      <c r="J25" s="16">
        <f t="shared" si="7"/>
        <v>0</v>
      </c>
      <c r="K25" s="16">
        <f t="shared" si="8"/>
        <v>5</v>
      </c>
      <c r="L25" s="47">
        <f t="shared" si="9"/>
        <v>0</v>
      </c>
      <c r="M25" s="9">
        <f t="shared" si="10"/>
        <v>2.5</v>
      </c>
      <c r="O25" s="32">
        <v>3</v>
      </c>
    </row>
    <row r="26" spans="1:15" ht="13.15" x14ac:dyDescent="0.4">
      <c r="A26" s="5" t="s">
        <v>97</v>
      </c>
      <c r="B26" s="22">
        <v>100</v>
      </c>
      <c r="C26" s="22">
        <v>100</v>
      </c>
      <c r="D26" s="22">
        <v>100</v>
      </c>
      <c r="E26" s="22">
        <v>100</v>
      </c>
      <c r="F26" s="22">
        <v>93</v>
      </c>
      <c r="G26" s="22">
        <v>100</v>
      </c>
      <c r="H26" s="22">
        <f t="shared" si="5"/>
        <v>100</v>
      </c>
      <c r="I26" s="16">
        <f t="shared" si="6"/>
        <v>97.9</v>
      </c>
      <c r="J26" s="16">
        <f t="shared" si="7"/>
        <v>67.900000000000006</v>
      </c>
      <c r="K26" s="16">
        <f t="shared" si="8"/>
        <v>30</v>
      </c>
      <c r="L26" s="47">
        <f t="shared" si="9"/>
        <v>100</v>
      </c>
      <c r="M26" s="9">
        <f t="shared" si="10"/>
        <v>98.95</v>
      </c>
      <c r="O26" s="32">
        <v>1</v>
      </c>
    </row>
    <row r="27" spans="1:15" ht="13.15" x14ac:dyDescent="0.4">
      <c r="A27" s="5" t="s">
        <v>98</v>
      </c>
      <c r="B27" s="22">
        <v>100</v>
      </c>
      <c r="C27" s="22">
        <v>100</v>
      </c>
      <c r="D27" s="22">
        <v>100</v>
      </c>
      <c r="E27" s="22">
        <v>100</v>
      </c>
      <c r="F27" s="22">
        <v>97</v>
      </c>
      <c r="G27" s="22">
        <v>100</v>
      </c>
      <c r="H27" s="22">
        <f t="shared" si="5"/>
        <v>100</v>
      </c>
      <c r="I27" s="16">
        <f t="shared" si="6"/>
        <v>99.1</v>
      </c>
      <c r="J27" s="16">
        <f t="shared" si="7"/>
        <v>69.099999999999994</v>
      </c>
      <c r="K27" s="16">
        <f t="shared" si="8"/>
        <v>30</v>
      </c>
      <c r="L27" s="47">
        <f t="shared" si="9"/>
        <v>100</v>
      </c>
      <c r="M27" s="9">
        <f t="shared" si="10"/>
        <v>99.55</v>
      </c>
      <c r="O27" s="32">
        <v>5</v>
      </c>
    </row>
    <row r="28" spans="1:15" ht="13.15" x14ac:dyDescent="0.4">
      <c r="A28" s="5" t="s">
        <v>144</v>
      </c>
      <c r="B28" s="22">
        <v>100</v>
      </c>
      <c r="C28" s="22">
        <v>100</v>
      </c>
      <c r="D28" s="22">
        <v>100</v>
      </c>
      <c r="E28" s="22">
        <v>100</v>
      </c>
      <c r="F28" s="22">
        <v>93</v>
      </c>
      <c r="G28" s="22">
        <v>100</v>
      </c>
      <c r="H28" s="22">
        <f t="shared" si="5"/>
        <v>100</v>
      </c>
      <c r="I28" s="16">
        <f t="shared" si="6"/>
        <v>97.9</v>
      </c>
      <c r="J28" s="16">
        <f t="shared" si="7"/>
        <v>67.900000000000006</v>
      </c>
      <c r="K28" s="16">
        <f t="shared" si="8"/>
        <v>30</v>
      </c>
      <c r="L28" s="47">
        <f t="shared" si="9"/>
        <v>100</v>
      </c>
      <c r="M28" s="9">
        <f t="shared" si="10"/>
        <v>98.95</v>
      </c>
      <c r="O28" s="32">
        <v>4</v>
      </c>
    </row>
    <row r="29" spans="1:15" ht="13.15" x14ac:dyDescent="0.4">
      <c r="A29" s="5" t="s">
        <v>99</v>
      </c>
      <c r="B29" s="22">
        <v>100</v>
      </c>
      <c r="C29" s="22">
        <v>100</v>
      </c>
      <c r="D29" s="22">
        <v>100</v>
      </c>
      <c r="E29" s="22">
        <v>100</v>
      </c>
      <c r="F29" s="22">
        <v>87</v>
      </c>
      <c r="G29" s="22">
        <v>100</v>
      </c>
      <c r="H29" s="22">
        <f t="shared" si="5"/>
        <v>100</v>
      </c>
      <c r="I29" s="16">
        <f t="shared" si="6"/>
        <v>96.1</v>
      </c>
      <c r="J29" s="16">
        <f t="shared" si="7"/>
        <v>66.099999999999994</v>
      </c>
      <c r="K29" s="16">
        <f t="shared" si="8"/>
        <v>30</v>
      </c>
      <c r="L29" s="47">
        <f t="shared" si="9"/>
        <v>100</v>
      </c>
      <c r="M29" s="9">
        <f t="shared" si="10"/>
        <v>98.05</v>
      </c>
      <c r="O29" s="32">
        <v>7</v>
      </c>
    </row>
    <row r="30" spans="1:15" ht="13.15" x14ac:dyDescent="0.4">
      <c r="A30" s="5" t="s">
        <v>100</v>
      </c>
      <c r="B30" s="22">
        <v>100</v>
      </c>
      <c r="C30" s="22">
        <v>100</v>
      </c>
      <c r="D30" s="22">
        <v>100</v>
      </c>
      <c r="E30" s="22">
        <v>0</v>
      </c>
      <c r="F30" s="22">
        <v>95.24</v>
      </c>
      <c r="G30" s="22">
        <v>100</v>
      </c>
      <c r="H30" s="22">
        <f t="shared" si="5"/>
        <v>100</v>
      </c>
      <c r="I30" s="16">
        <f t="shared" si="6"/>
        <v>68.572000000000003</v>
      </c>
      <c r="J30" s="16">
        <f t="shared" si="7"/>
        <v>38.572000000000003</v>
      </c>
      <c r="K30" s="16">
        <f t="shared" si="8"/>
        <v>30</v>
      </c>
      <c r="L30" s="47">
        <f t="shared" si="9"/>
        <v>100</v>
      </c>
      <c r="M30" s="9">
        <f t="shared" si="10"/>
        <v>84.286000000000001</v>
      </c>
      <c r="O30" s="32">
        <v>6</v>
      </c>
    </row>
    <row r="31" spans="1:15" ht="13.15" x14ac:dyDescent="0.35">
      <c r="O31" s="48"/>
    </row>
    <row r="32" spans="1:15" x14ac:dyDescent="0.35">
      <c r="A32" s="72" t="s">
        <v>70</v>
      </c>
      <c r="B32" s="72"/>
      <c r="C32" s="72"/>
      <c r="D32" s="72"/>
      <c r="E32" s="72"/>
      <c r="F32" s="72"/>
      <c r="G32"/>
    </row>
    <row r="33" spans="1:8" x14ac:dyDescent="0.35">
      <c r="A33" s="33"/>
      <c r="B33" s="34" t="s">
        <v>37</v>
      </c>
      <c r="C33" s="34" t="s">
        <v>38</v>
      </c>
      <c r="D33" s="34" t="s">
        <v>42</v>
      </c>
      <c r="E33" s="35" t="s">
        <v>40</v>
      </c>
      <c r="F33" s="35" t="s">
        <v>18</v>
      </c>
      <c r="G33"/>
    </row>
    <row r="34" spans="1:8" ht="13.15" x14ac:dyDescent="0.4">
      <c r="A34" s="5" t="s">
        <v>81</v>
      </c>
      <c r="B34" s="36">
        <v>100</v>
      </c>
      <c r="C34" s="36">
        <v>100</v>
      </c>
      <c r="D34" s="36">
        <v>100</v>
      </c>
      <c r="E34" s="36">
        <v>100</v>
      </c>
      <c r="F34" s="37">
        <f>AVERAGE(B34:E34)</f>
        <v>100</v>
      </c>
      <c r="G34"/>
      <c r="H34" s="32">
        <v>5</v>
      </c>
    </row>
    <row r="35" spans="1:8" ht="13.15" x14ac:dyDescent="0.4">
      <c r="A35" s="5" t="s">
        <v>82</v>
      </c>
      <c r="B35" s="36">
        <v>100</v>
      </c>
      <c r="C35" s="36">
        <v>100</v>
      </c>
      <c r="D35" s="36">
        <v>100</v>
      </c>
      <c r="E35" s="36">
        <v>100</v>
      </c>
      <c r="F35" s="37">
        <f t="shared" ref="F35:F36" si="11">AVERAGE(B35:E35)</f>
        <v>100</v>
      </c>
      <c r="G35"/>
      <c r="H35" s="32">
        <v>6</v>
      </c>
    </row>
    <row r="36" spans="1:8" ht="13.15" x14ac:dyDescent="0.4">
      <c r="A36" s="5" t="s">
        <v>83</v>
      </c>
      <c r="B36" s="36">
        <v>100</v>
      </c>
      <c r="C36" s="36">
        <v>100</v>
      </c>
      <c r="D36" s="36">
        <v>100</v>
      </c>
      <c r="E36" s="36">
        <v>100</v>
      </c>
      <c r="F36" s="37">
        <f t="shared" si="11"/>
        <v>100</v>
      </c>
      <c r="G36"/>
      <c r="H36" s="32">
        <v>5</v>
      </c>
    </row>
    <row r="37" spans="1:8" ht="13.15" x14ac:dyDescent="0.4">
      <c r="A37" s="5" t="s">
        <v>84</v>
      </c>
      <c r="B37" s="36">
        <v>100</v>
      </c>
      <c r="C37" s="36">
        <v>100</v>
      </c>
      <c r="D37" s="36">
        <v>100</v>
      </c>
      <c r="E37" s="36">
        <v>100</v>
      </c>
      <c r="F37" s="37">
        <f t="shared" ref="F37:F60" si="12">AVERAGE(B37:E37)</f>
        <v>100</v>
      </c>
      <c r="G37"/>
      <c r="H37" s="32">
        <v>2</v>
      </c>
    </row>
    <row r="38" spans="1:8" ht="13.15" x14ac:dyDescent="0.4">
      <c r="A38" s="5" t="s">
        <v>138</v>
      </c>
      <c r="B38" s="36">
        <v>0</v>
      </c>
      <c r="C38" s="36">
        <v>0</v>
      </c>
      <c r="D38" s="36">
        <v>0</v>
      </c>
      <c r="E38" s="36">
        <v>0</v>
      </c>
      <c r="F38" s="37">
        <f t="shared" si="12"/>
        <v>0</v>
      </c>
      <c r="G38"/>
      <c r="H38" s="32">
        <v>3</v>
      </c>
    </row>
    <row r="39" spans="1:8" ht="13.15" x14ac:dyDescent="0.4">
      <c r="A39" s="5" t="s">
        <v>85</v>
      </c>
      <c r="B39" s="36">
        <v>100</v>
      </c>
      <c r="C39" s="36">
        <v>100</v>
      </c>
      <c r="D39" s="36">
        <v>100</v>
      </c>
      <c r="E39" s="36">
        <v>100</v>
      </c>
      <c r="F39" s="37">
        <f t="shared" si="12"/>
        <v>100</v>
      </c>
      <c r="G39"/>
      <c r="H39" s="32">
        <v>5</v>
      </c>
    </row>
    <row r="40" spans="1:8" ht="13.15" x14ac:dyDescent="0.4">
      <c r="A40" s="5" t="s">
        <v>86</v>
      </c>
      <c r="B40" s="36">
        <v>100</v>
      </c>
      <c r="C40" s="36">
        <v>100</v>
      </c>
      <c r="D40" s="36">
        <v>100</v>
      </c>
      <c r="E40" s="36">
        <v>100</v>
      </c>
      <c r="F40" s="37">
        <f t="shared" si="12"/>
        <v>100</v>
      </c>
      <c r="G40"/>
      <c r="H40" s="32">
        <v>1</v>
      </c>
    </row>
    <row r="41" spans="1:8" ht="13.15" x14ac:dyDescent="0.4">
      <c r="A41" s="5" t="s">
        <v>87</v>
      </c>
      <c r="B41" s="36">
        <v>100</v>
      </c>
      <c r="C41" s="36">
        <v>100</v>
      </c>
      <c r="D41" s="36">
        <v>100</v>
      </c>
      <c r="E41" s="36">
        <v>100</v>
      </c>
      <c r="F41" s="37">
        <f t="shared" si="12"/>
        <v>100</v>
      </c>
      <c r="G41"/>
      <c r="H41" s="32">
        <v>7</v>
      </c>
    </row>
    <row r="42" spans="1:8" ht="13.15" x14ac:dyDescent="0.4">
      <c r="A42" s="5" t="s">
        <v>88</v>
      </c>
      <c r="B42" s="36">
        <v>100</v>
      </c>
      <c r="C42" s="36">
        <v>100</v>
      </c>
      <c r="D42" s="36">
        <v>100</v>
      </c>
      <c r="E42" s="36">
        <v>100</v>
      </c>
      <c r="F42" s="37">
        <f t="shared" si="12"/>
        <v>100</v>
      </c>
      <c r="G42"/>
      <c r="H42" s="32">
        <v>1</v>
      </c>
    </row>
    <row r="43" spans="1:8" ht="13.15" x14ac:dyDescent="0.4">
      <c r="A43" s="5" t="s">
        <v>139</v>
      </c>
      <c r="B43" s="36">
        <v>100</v>
      </c>
      <c r="C43" s="36">
        <v>100</v>
      </c>
      <c r="D43" s="36">
        <v>100</v>
      </c>
      <c r="E43" s="36">
        <v>100</v>
      </c>
      <c r="F43" s="37">
        <f t="shared" si="12"/>
        <v>100</v>
      </c>
      <c r="G43"/>
      <c r="H43" s="32">
        <v>4</v>
      </c>
    </row>
    <row r="44" spans="1:8" ht="13.15" x14ac:dyDescent="0.4">
      <c r="A44" s="5" t="s">
        <v>89</v>
      </c>
      <c r="B44" s="36">
        <v>100</v>
      </c>
      <c r="C44" s="36">
        <v>100</v>
      </c>
      <c r="D44" s="36">
        <v>100</v>
      </c>
      <c r="E44" s="36">
        <v>100</v>
      </c>
      <c r="F44" s="37">
        <f t="shared" si="12"/>
        <v>100</v>
      </c>
      <c r="G44"/>
      <c r="H44" s="32">
        <v>6</v>
      </c>
    </row>
    <row r="45" spans="1:8" ht="13.15" x14ac:dyDescent="0.4">
      <c r="A45" s="5" t="s">
        <v>90</v>
      </c>
      <c r="B45" s="36">
        <v>100</v>
      </c>
      <c r="C45" s="36">
        <v>100</v>
      </c>
      <c r="D45" s="36">
        <v>100</v>
      </c>
      <c r="E45" s="36">
        <v>100</v>
      </c>
      <c r="F45" s="37">
        <f t="shared" si="12"/>
        <v>100</v>
      </c>
      <c r="G45"/>
      <c r="H45" s="32">
        <v>4</v>
      </c>
    </row>
    <row r="46" spans="1:8" ht="13.15" x14ac:dyDescent="0.4">
      <c r="A46" s="5" t="s">
        <v>91</v>
      </c>
      <c r="B46" s="36">
        <v>100</v>
      </c>
      <c r="C46" s="36">
        <v>100</v>
      </c>
      <c r="D46" s="36">
        <v>100</v>
      </c>
      <c r="E46" s="36">
        <v>100</v>
      </c>
      <c r="F46" s="37">
        <f t="shared" si="12"/>
        <v>100</v>
      </c>
      <c r="G46"/>
      <c r="H46" s="32">
        <v>6</v>
      </c>
    </row>
    <row r="47" spans="1:8" ht="13.15" x14ac:dyDescent="0.4">
      <c r="A47" s="5" t="s">
        <v>92</v>
      </c>
      <c r="B47" s="36">
        <v>100</v>
      </c>
      <c r="C47" s="36">
        <v>100</v>
      </c>
      <c r="D47" s="36">
        <v>100</v>
      </c>
      <c r="E47" s="36">
        <v>100</v>
      </c>
      <c r="F47" s="37">
        <f t="shared" si="12"/>
        <v>100</v>
      </c>
      <c r="G47"/>
      <c r="H47" s="32">
        <v>7</v>
      </c>
    </row>
    <row r="48" spans="1:8" ht="13.15" x14ac:dyDescent="0.4">
      <c r="A48" s="5" t="s">
        <v>93</v>
      </c>
      <c r="B48" s="36">
        <v>100</v>
      </c>
      <c r="C48" s="36">
        <v>100</v>
      </c>
      <c r="D48" s="36">
        <v>100</v>
      </c>
      <c r="E48" s="36">
        <v>100</v>
      </c>
      <c r="F48" s="37">
        <f t="shared" si="12"/>
        <v>100</v>
      </c>
      <c r="G48"/>
      <c r="H48" s="32">
        <v>1</v>
      </c>
    </row>
    <row r="49" spans="1:18" ht="13.15" x14ac:dyDescent="0.4">
      <c r="A49" s="5" t="s">
        <v>94</v>
      </c>
      <c r="B49" s="36">
        <v>100</v>
      </c>
      <c r="C49" s="36">
        <f>28/30*100</f>
        <v>93.333333333333329</v>
      </c>
      <c r="D49" s="36">
        <v>100</v>
      </c>
      <c r="E49" s="36">
        <v>100</v>
      </c>
      <c r="F49" s="37">
        <f t="shared" si="12"/>
        <v>98.333333333333329</v>
      </c>
      <c r="G49"/>
      <c r="H49" s="32">
        <v>2</v>
      </c>
    </row>
    <row r="50" spans="1:18" ht="13.15" x14ac:dyDescent="0.4">
      <c r="A50" s="5" t="s">
        <v>140</v>
      </c>
      <c r="B50" s="36">
        <v>100</v>
      </c>
      <c r="C50" s="36">
        <v>100</v>
      </c>
      <c r="D50" s="36">
        <v>100</v>
      </c>
      <c r="E50" s="36">
        <v>100</v>
      </c>
      <c r="F50" s="37">
        <f t="shared" si="12"/>
        <v>100</v>
      </c>
      <c r="H50" s="32">
        <v>7</v>
      </c>
    </row>
    <row r="51" spans="1:18" ht="13.15" x14ac:dyDescent="0.4">
      <c r="A51" s="5" t="s">
        <v>95</v>
      </c>
      <c r="B51" s="36">
        <v>100</v>
      </c>
      <c r="C51" s="36">
        <v>100</v>
      </c>
      <c r="D51" s="36">
        <v>100</v>
      </c>
      <c r="E51" s="36">
        <v>100</v>
      </c>
      <c r="F51" s="37">
        <f t="shared" si="12"/>
        <v>100</v>
      </c>
      <c r="H51" s="32">
        <v>2</v>
      </c>
    </row>
    <row r="52" spans="1:18" ht="13.15" x14ac:dyDescent="0.4">
      <c r="A52" s="5" t="s">
        <v>96</v>
      </c>
      <c r="B52" s="36">
        <v>100</v>
      </c>
      <c r="C52" s="36">
        <v>100</v>
      </c>
      <c r="D52" s="36">
        <v>100</v>
      </c>
      <c r="E52" s="36">
        <v>100</v>
      </c>
      <c r="F52" s="37">
        <f t="shared" si="12"/>
        <v>100</v>
      </c>
      <c r="H52" s="32">
        <v>2</v>
      </c>
    </row>
    <row r="53" spans="1:18" ht="13.15" x14ac:dyDescent="0.4">
      <c r="A53" s="5" t="s">
        <v>141</v>
      </c>
      <c r="B53" s="36">
        <v>0</v>
      </c>
      <c r="C53" s="36">
        <v>0</v>
      </c>
      <c r="D53" s="36">
        <v>0</v>
      </c>
      <c r="E53" s="36">
        <v>0</v>
      </c>
      <c r="F53" s="37">
        <f t="shared" si="12"/>
        <v>0</v>
      </c>
      <c r="H53" s="32"/>
    </row>
    <row r="54" spans="1:18" ht="13.15" x14ac:dyDescent="0.4">
      <c r="A54" s="5" t="s">
        <v>142</v>
      </c>
      <c r="B54" s="36">
        <v>0</v>
      </c>
      <c r="C54" s="36">
        <v>0</v>
      </c>
      <c r="D54" s="36">
        <v>0</v>
      </c>
      <c r="E54" s="36">
        <v>0</v>
      </c>
      <c r="F54" s="37">
        <f t="shared" si="12"/>
        <v>0</v>
      </c>
      <c r="H54" s="32">
        <v>3</v>
      </c>
    </row>
    <row r="55" spans="1:18" ht="13.15" x14ac:dyDescent="0.4">
      <c r="A55" s="5" t="s">
        <v>143</v>
      </c>
      <c r="B55" s="36">
        <v>0</v>
      </c>
      <c r="C55" s="36">
        <v>0</v>
      </c>
      <c r="D55" s="36">
        <v>0</v>
      </c>
      <c r="E55" s="36">
        <v>0</v>
      </c>
      <c r="F55" s="37">
        <f t="shared" si="12"/>
        <v>0</v>
      </c>
      <c r="H55" s="32">
        <v>3</v>
      </c>
    </row>
    <row r="56" spans="1:18" ht="13.15" x14ac:dyDescent="0.4">
      <c r="A56" s="5" t="s">
        <v>97</v>
      </c>
      <c r="B56" s="36">
        <v>100</v>
      </c>
      <c r="C56" s="36">
        <v>100</v>
      </c>
      <c r="D56" s="36">
        <v>100</v>
      </c>
      <c r="E56" s="36">
        <v>100</v>
      </c>
      <c r="F56" s="37">
        <f t="shared" si="12"/>
        <v>100</v>
      </c>
      <c r="H56" s="32">
        <v>1</v>
      </c>
    </row>
    <row r="57" spans="1:18" ht="13.15" x14ac:dyDescent="0.4">
      <c r="A57" s="5" t="s">
        <v>98</v>
      </c>
      <c r="B57" s="36">
        <v>100</v>
      </c>
      <c r="C57" s="36">
        <v>100</v>
      </c>
      <c r="D57" s="36">
        <v>100</v>
      </c>
      <c r="E57" s="36">
        <v>100</v>
      </c>
      <c r="F57" s="37">
        <f t="shared" si="12"/>
        <v>100</v>
      </c>
      <c r="H57" s="32">
        <v>5</v>
      </c>
    </row>
    <row r="58" spans="1:18" ht="13.15" x14ac:dyDescent="0.4">
      <c r="A58" s="5" t="s">
        <v>144</v>
      </c>
      <c r="B58" s="36">
        <v>100</v>
      </c>
      <c r="C58" s="36">
        <v>100</v>
      </c>
      <c r="D58" s="36">
        <v>100</v>
      </c>
      <c r="E58" s="36">
        <v>100</v>
      </c>
      <c r="F58" s="37">
        <f t="shared" si="12"/>
        <v>100</v>
      </c>
      <c r="H58" s="32">
        <v>4</v>
      </c>
    </row>
    <row r="59" spans="1:18" ht="13.15" x14ac:dyDescent="0.4">
      <c r="A59" s="5" t="s">
        <v>99</v>
      </c>
      <c r="B59" s="36">
        <v>100</v>
      </c>
      <c r="C59" s="36">
        <v>100</v>
      </c>
      <c r="D59" s="36">
        <v>100</v>
      </c>
      <c r="E59" s="36">
        <v>100</v>
      </c>
      <c r="F59" s="37">
        <f t="shared" si="12"/>
        <v>100</v>
      </c>
      <c r="H59" s="32">
        <v>7</v>
      </c>
    </row>
    <row r="60" spans="1:18" ht="13.15" x14ac:dyDescent="0.4">
      <c r="A60" s="5" t="s">
        <v>100</v>
      </c>
      <c r="B60" s="36">
        <v>100</v>
      </c>
      <c r="C60" s="36">
        <v>100</v>
      </c>
      <c r="D60" s="36">
        <v>100</v>
      </c>
      <c r="E60" s="36">
        <v>100</v>
      </c>
      <c r="F60" s="37">
        <f t="shared" si="12"/>
        <v>100</v>
      </c>
      <c r="H60" s="32">
        <v>6</v>
      </c>
    </row>
    <row r="61" spans="1:18" ht="13.15" x14ac:dyDescent="0.4">
      <c r="A61" s="41"/>
      <c r="B61" s="42"/>
      <c r="C61" s="42"/>
      <c r="D61" s="42"/>
      <c r="E61" s="42"/>
      <c r="F61" s="43"/>
      <c r="H61" s="48"/>
    </row>
    <row r="62" spans="1:18" x14ac:dyDescent="0.35">
      <c r="A62" s="72" t="s">
        <v>74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</row>
    <row r="63" spans="1:18" x14ac:dyDescent="0.35">
      <c r="A63" s="33"/>
      <c r="B63" s="44">
        <v>44116</v>
      </c>
      <c r="C63" s="44">
        <v>44119</v>
      </c>
      <c r="D63" s="44">
        <v>44123</v>
      </c>
      <c r="E63" s="44">
        <v>44126</v>
      </c>
      <c r="F63" s="44">
        <v>44130</v>
      </c>
      <c r="G63" s="44">
        <v>44133</v>
      </c>
      <c r="H63" s="44">
        <v>44137</v>
      </c>
      <c r="I63" s="44">
        <v>44140</v>
      </c>
      <c r="J63" s="44">
        <v>44144</v>
      </c>
      <c r="K63" s="44">
        <v>44147</v>
      </c>
      <c r="L63" s="44">
        <v>44151</v>
      </c>
      <c r="M63" s="44">
        <v>44154</v>
      </c>
      <c r="N63" s="44">
        <v>44158</v>
      </c>
      <c r="O63" s="44">
        <v>44161</v>
      </c>
      <c r="P63" s="35" t="s">
        <v>18</v>
      </c>
    </row>
    <row r="64" spans="1:18" ht="13.15" x14ac:dyDescent="0.4">
      <c r="A64" s="5" t="s">
        <v>81</v>
      </c>
      <c r="B64" s="36">
        <v>1</v>
      </c>
      <c r="C64" s="36">
        <v>1</v>
      </c>
      <c r="D64" s="36">
        <v>1</v>
      </c>
      <c r="E64" s="36">
        <v>1</v>
      </c>
      <c r="F64" s="36">
        <v>1</v>
      </c>
      <c r="G64" s="36">
        <v>1</v>
      </c>
      <c r="H64" s="36">
        <v>1</v>
      </c>
      <c r="I64" s="36">
        <v>1</v>
      </c>
      <c r="J64" s="36">
        <v>1</v>
      </c>
      <c r="K64" s="36">
        <v>1</v>
      </c>
      <c r="L64" s="36">
        <v>1</v>
      </c>
      <c r="M64" s="36">
        <v>1</v>
      </c>
      <c r="N64" s="36">
        <v>1</v>
      </c>
      <c r="O64" s="36">
        <v>1</v>
      </c>
      <c r="P64" s="37">
        <f>AVERAGE(B64:O64)*100</f>
        <v>100</v>
      </c>
      <c r="R64" s="32">
        <v>5</v>
      </c>
    </row>
    <row r="65" spans="1:18" ht="13.15" x14ac:dyDescent="0.4">
      <c r="A65" s="5" t="s">
        <v>82</v>
      </c>
      <c r="B65" s="36">
        <v>1</v>
      </c>
      <c r="C65" s="36">
        <v>1</v>
      </c>
      <c r="D65" s="36">
        <v>1</v>
      </c>
      <c r="E65" s="36">
        <v>1</v>
      </c>
      <c r="F65" s="36">
        <v>1</v>
      </c>
      <c r="G65" s="36">
        <v>1</v>
      </c>
      <c r="H65" s="36">
        <v>1</v>
      </c>
      <c r="I65" s="36">
        <v>1</v>
      </c>
      <c r="J65" s="36">
        <v>1</v>
      </c>
      <c r="K65" s="36">
        <v>1</v>
      </c>
      <c r="L65" s="36">
        <v>1</v>
      </c>
      <c r="M65" s="36">
        <v>1</v>
      </c>
      <c r="N65" s="36">
        <v>1</v>
      </c>
      <c r="O65" s="36">
        <v>1</v>
      </c>
      <c r="P65" s="37">
        <f t="shared" ref="P65:P66" si="13">AVERAGE(B65:O65)*100</f>
        <v>100</v>
      </c>
      <c r="R65" s="32">
        <v>6</v>
      </c>
    </row>
    <row r="66" spans="1:18" ht="13.15" x14ac:dyDescent="0.4">
      <c r="A66" s="5" t="s">
        <v>83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7">
        <f t="shared" si="13"/>
        <v>0</v>
      </c>
      <c r="R66" s="32">
        <v>5</v>
      </c>
    </row>
    <row r="67" spans="1:18" ht="13.15" x14ac:dyDescent="0.4">
      <c r="A67" s="5" t="s">
        <v>84</v>
      </c>
      <c r="B67" s="36">
        <v>1</v>
      </c>
      <c r="C67" s="36">
        <v>1</v>
      </c>
      <c r="D67" s="36">
        <v>1</v>
      </c>
      <c r="E67" s="36">
        <v>1</v>
      </c>
      <c r="F67" s="36">
        <v>1</v>
      </c>
      <c r="G67" s="36">
        <v>1</v>
      </c>
      <c r="H67" s="36">
        <v>1</v>
      </c>
      <c r="I67" s="36">
        <v>1</v>
      </c>
      <c r="J67" s="36">
        <v>1</v>
      </c>
      <c r="K67" s="36">
        <v>1</v>
      </c>
      <c r="L67" s="36">
        <v>1</v>
      </c>
      <c r="M67" s="36">
        <v>1</v>
      </c>
      <c r="N67" s="36">
        <v>1</v>
      </c>
      <c r="O67" s="36">
        <v>1</v>
      </c>
      <c r="P67" s="37">
        <f t="shared" ref="P67:P90" si="14">AVERAGE(B67:O67)*100</f>
        <v>100</v>
      </c>
      <c r="R67" s="32">
        <v>2</v>
      </c>
    </row>
    <row r="68" spans="1:18" ht="13.15" x14ac:dyDescent="0.4">
      <c r="A68" s="5" t="s">
        <v>138</v>
      </c>
      <c r="B68" s="36">
        <v>1</v>
      </c>
      <c r="C68" s="36">
        <v>1</v>
      </c>
      <c r="D68" s="36">
        <v>1</v>
      </c>
      <c r="E68" s="36">
        <v>1</v>
      </c>
      <c r="F68" s="36">
        <v>1</v>
      </c>
      <c r="G68" s="36">
        <v>1</v>
      </c>
      <c r="H68" s="36">
        <v>1</v>
      </c>
      <c r="I68" s="36">
        <v>1</v>
      </c>
      <c r="J68" s="36">
        <v>1</v>
      </c>
      <c r="K68" s="36">
        <v>1</v>
      </c>
      <c r="L68" s="36">
        <v>1</v>
      </c>
      <c r="M68" s="36">
        <v>1</v>
      </c>
      <c r="N68" s="36">
        <v>1</v>
      </c>
      <c r="O68" s="36">
        <v>1</v>
      </c>
      <c r="P68" s="37">
        <f t="shared" si="14"/>
        <v>100</v>
      </c>
      <c r="R68" s="32">
        <v>3</v>
      </c>
    </row>
    <row r="69" spans="1:18" ht="13.15" x14ac:dyDescent="0.4">
      <c r="A69" s="5" t="s">
        <v>85</v>
      </c>
      <c r="B69" s="36">
        <v>1</v>
      </c>
      <c r="C69" s="36">
        <v>1</v>
      </c>
      <c r="D69" s="36">
        <v>1</v>
      </c>
      <c r="E69" s="36">
        <v>1</v>
      </c>
      <c r="F69" s="36">
        <v>1</v>
      </c>
      <c r="G69" s="36">
        <v>1</v>
      </c>
      <c r="H69" s="36">
        <v>1</v>
      </c>
      <c r="I69" s="36">
        <v>1</v>
      </c>
      <c r="J69" s="36">
        <v>1</v>
      </c>
      <c r="K69" s="36">
        <v>1</v>
      </c>
      <c r="L69" s="36">
        <v>1</v>
      </c>
      <c r="M69" s="36">
        <v>1</v>
      </c>
      <c r="N69" s="36">
        <v>1</v>
      </c>
      <c r="O69" s="36">
        <v>1</v>
      </c>
      <c r="P69" s="37">
        <f t="shared" si="14"/>
        <v>100</v>
      </c>
      <c r="R69" s="32">
        <v>5</v>
      </c>
    </row>
    <row r="70" spans="1:18" ht="13.15" x14ac:dyDescent="0.4">
      <c r="A70" s="5" t="s">
        <v>86</v>
      </c>
      <c r="B70" s="36">
        <v>1</v>
      </c>
      <c r="C70" s="36">
        <v>1</v>
      </c>
      <c r="D70" s="36">
        <v>1</v>
      </c>
      <c r="E70" s="36">
        <v>1</v>
      </c>
      <c r="F70" s="36">
        <v>1</v>
      </c>
      <c r="G70" s="36">
        <v>1</v>
      </c>
      <c r="H70" s="36">
        <v>1</v>
      </c>
      <c r="I70" s="36">
        <v>1</v>
      </c>
      <c r="J70" s="36">
        <v>1</v>
      </c>
      <c r="K70" s="36">
        <v>1</v>
      </c>
      <c r="L70" s="36">
        <v>1</v>
      </c>
      <c r="M70" s="36">
        <v>1</v>
      </c>
      <c r="N70" s="36">
        <v>1</v>
      </c>
      <c r="O70" s="36">
        <v>1</v>
      </c>
      <c r="P70" s="37">
        <f t="shared" si="14"/>
        <v>100</v>
      </c>
      <c r="R70" s="32">
        <v>1</v>
      </c>
    </row>
    <row r="71" spans="1:18" ht="13.15" x14ac:dyDescent="0.4">
      <c r="A71" s="5" t="s">
        <v>87</v>
      </c>
      <c r="B71" s="36">
        <v>1</v>
      </c>
      <c r="C71" s="36">
        <v>1</v>
      </c>
      <c r="D71" s="36">
        <v>1</v>
      </c>
      <c r="E71" s="36">
        <v>1</v>
      </c>
      <c r="F71" s="36">
        <v>1</v>
      </c>
      <c r="G71" s="36">
        <v>1</v>
      </c>
      <c r="H71" s="36">
        <v>1</v>
      </c>
      <c r="I71" s="36">
        <v>1</v>
      </c>
      <c r="J71" s="36">
        <v>1</v>
      </c>
      <c r="K71" s="36">
        <v>1</v>
      </c>
      <c r="L71" s="36">
        <v>1</v>
      </c>
      <c r="M71" s="36">
        <v>1</v>
      </c>
      <c r="N71" s="36">
        <v>1</v>
      </c>
      <c r="O71" s="36">
        <v>1</v>
      </c>
      <c r="P71" s="37">
        <f t="shared" si="14"/>
        <v>100</v>
      </c>
      <c r="R71" s="32">
        <v>7</v>
      </c>
    </row>
    <row r="72" spans="1:18" ht="13.15" x14ac:dyDescent="0.4">
      <c r="A72" s="5" t="s">
        <v>88</v>
      </c>
      <c r="B72" s="36">
        <v>1</v>
      </c>
      <c r="C72" s="36">
        <v>1</v>
      </c>
      <c r="D72" s="36">
        <v>1</v>
      </c>
      <c r="E72" s="36">
        <v>1</v>
      </c>
      <c r="F72" s="36">
        <v>1</v>
      </c>
      <c r="G72" s="36">
        <v>1</v>
      </c>
      <c r="H72" s="36">
        <v>1</v>
      </c>
      <c r="I72" s="36">
        <v>1</v>
      </c>
      <c r="J72" s="36">
        <v>1</v>
      </c>
      <c r="K72" s="36">
        <v>1</v>
      </c>
      <c r="L72" s="36">
        <v>1</v>
      </c>
      <c r="M72" s="36">
        <v>1</v>
      </c>
      <c r="N72" s="36">
        <v>1</v>
      </c>
      <c r="O72" s="36">
        <v>1</v>
      </c>
      <c r="P72" s="37">
        <f t="shared" si="14"/>
        <v>100</v>
      </c>
      <c r="R72" s="32">
        <v>1</v>
      </c>
    </row>
    <row r="73" spans="1:18" ht="13.15" x14ac:dyDescent="0.4">
      <c r="A73" s="5" t="s">
        <v>139</v>
      </c>
      <c r="B73" s="36">
        <v>1</v>
      </c>
      <c r="C73" s="36">
        <v>1</v>
      </c>
      <c r="D73" s="36">
        <v>1</v>
      </c>
      <c r="E73" s="36">
        <v>1</v>
      </c>
      <c r="F73" s="36">
        <v>1</v>
      </c>
      <c r="G73" s="36">
        <v>1</v>
      </c>
      <c r="H73" s="36">
        <v>1</v>
      </c>
      <c r="I73" s="36">
        <v>1</v>
      </c>
      <c r="J73" s="36">
        <v>1</v>
      </c>
      <c r="K73" s="36">
        <v>1</v>
      </c>
      <c r="L73" s="36">
        <v>1</v>
      </c>
      <c r="M73" s="36">
        <v>1</v>
      </c>
      <c r="N73" s="36">
        <v>1</v>
      </c>
      <c r="O73" s="36">
        <v>1</v>
      </c>
      <c r="P73" s="37">
        <f t="shared" si="14"/>
        <v>100</v>
      </c>
      <c r="R73" s="32">
        <v>4</v>
      </c>
    </row>
    <row r="74" spans="1:18" ht="13.15" x14ac:dyDescent="0.4">
      <c r="A74" s="5" t="s">
        <v>89</v>
      </c>
      <c r="B74" s="36">
        <v>1</v>
      </c>
      <c r="C74" s="36">
        <v>1</v>
      </c>
      <c r="D74" s="36">
        <v>1</v>
      </c>
      <c r="E74" s="36">
        <v>1</v>
      </c>
      <c r="F74" s="36">
        <v>1</v>
      </c>
      <c r="G74" s="36">
        <v>1</v>
      </c>
      <c r="H74" s="36">
        <v>1</v>
      </c>
      <c r="I74" s="36">
        <v>1</v>
      </c>
      <c r="J74" s="36">
        <v>1</v>
      </c>
      <c r="K74" s="36">
        <v>1</v>
      </c>
      <c r="L74" s="36">
        <v>1</v>
      </c>
      <c r="M74" s="36">
        <v>1</v>
      </c>
      <c r="N74" s="36">
        <v>1</v>
      </c>
      <c r="O74" s="36">
        <v>1</v>
      </c>
      <c r="P74" s="37">
        <f t="shared" si="14"/>
        <v>100</v>
      </c>
      <c r="R74" s="32">
        <v>6</v>
      </c>
    </row>
    <row r="75" spans="1:18" ht="13.15" x14ac:dyDescent="0.4">
      <c r="A75" s="5" t="s">
        <v>90</v>
      </c>
      <c r="B75" s="36">
        <v>1</v>
      </c>
      <c r="C75" s="36">
        <v>1</v>
      </c>
      <c r="D75" s="36">
        <v>1</v>
      </c>
      <c r="E75" s="36">
        <v>1</v>
      </c>
      <c r="F75" s="36">
        <v>1</v>
      </c>
      <c r="G75" s="36">
        <v>1</v>
      </c>
      <c r="H75" s="36">
        <v>1</v>
      </c>
      <c r="I75" s="36">
        <v>1</v>
      </c>
      <c r="J75" s="36">
        <v>1</v>
      </c>
      <c r="K75" s="36">
        <v>1</v>
      </c>
      <c r="L75" s="36">
        <v>1</v>
      </c>
      <c r="M75" s="36">
        <v>1</v>
      </c>
      <c r="N75" s="36">
        <v>1</v>
      </c>
      <c r="O75" s="36">
        <v>1</v>
      </c>
      <c r="P75" s="37">
        <f t="shared" si="14"/>
        <v>100</v>
      </c>
      <c r="R75" s="32">
        <v>4</v>
      </c>
    </row>
    <row r="76" spans="1:18" ht="13.15" x14ac:dyDescent="0.4">
      <c r="A76" s="5" t="s">
        <v>91</v>
      </c>
      <c r="B76" s="36">
        <v>1</v>
      </c>
      <c r="C76" s="36">
        <v>1</v>
      </c>
      <c r="D76" s="36">
        <v>1</v>
      </c>
      <c r="E76" s="36">
        <v>1</v>
      </c>
      <c r="F76" s="36">
        <v>1</v>
      </c>
      <c r="G76" s="36">
        <v>1</v>
      </c>
      <c r="H76" s="36">
        <v>1</v>
      </c>
      <c r="I76" s="36">
        <v>1</v>
      </c>
      <c r="J76" s="36">
        <v>1</v>
      </c>
      <c r="K76" s="36">
        <v>1</v>
      </c>
      <c r="L76" s="36">
        <v>1</v>
      </c>
      <c r="M76" s="36">
        <v>1</v>
      </c>
      <c r="N76" s="36">
        <v>1</v>
      </c>
      <c r="O76" s="36">
        <v>1</v>
      </c>
      <c r="P76" s="37">
        <f t="shared" si="14"/>
        <v>100</v>
      </c>
      <c r="R76" s="32">
        <v>6</v>
      </c>
    </row>
    <row r="77" spans="1:18" ht="13.15" x14ac:dyDescent="0.4">
      <c r="A77" s="5" t="s">
        <v>92</v>
      </c>
      <c r="B77" s="36">
        <v>1</v>
      </c>
      <c r="C77" s="36">
        <v>1</v>
      </c>
      <c r="D77" s="36">
        <v>1</v>
      </c>
      <c r="E77" s="36">
        <v>1</v>
      </c>
      <c r="F77" s="36">
        <v>1</v>
      </c>
      <c r="G77" s="36">
        <v>1</v>
      </c>
      <c r="H77" s="36">
        <v>1</v>
      </c>
      <c r="I77" s="36">
        <v>1</v>
      </c>
      <c r="J77" s="36">
        <v>1</v>
      </c>
      <c r="K77" s="36">
        <v>1</v>
      </c>
      <c r="L77" s="36">
        <v>1</v>
      </c>
      <c r="M77" s="36">
        <v>1</v>
      </c>
      <c r="N77" s="36">
        <v>1</v>
      </c>
      <c r="O77" s="36">
        <v>1</v>
      </c>
      <c r="P77" s="37">
        <f t="shared" si="14"/>
        <v>100</v>
      </c>
      <c r="R77" s="32">
        <v>7</v>
      </c>
    </row>
    <row r="78" spans="1:18" ht="13.15" x14ac:dyDescent="0.4">
      <c r="A78" s="5" t="s">
        <v>93</v>
      </c>
      <c r="B78" s="36">
        <v>1</v>
      </c>
      <c r="C78" s="36">
        <v>1</v>
      </c>
      <c r="D78" s="36">
        <v>1</v>
      </c>
      <c r="E78" s="36">
        <v>1</v>
      </c>
      <c r="F78" s="36">
        <v>1</v>
      </c>
      <c r="G78" s="36">
        <v>1</v>
      </c>
      <c r="H78" s="36">
        <v>1</v>
      </c>
      <c r="I78" s="36">
        <v>1</v>
      </c>
      <c r="J78" s="36">
        <v>1</v>
      </c>
      <c r="K78" s="36">
        <v>1</v>
      </c>
      <c r="L78" s="36">
        <v>1</v>
      </c>
      <c r="M78" s="36">
        <v>1</v>
      </c>
      <c r="N78" s="36">
        <v>1</v>
      </c>
      <c r="O78" s="36">
        <v>1</v>
      </c>
      <c r="P78" s="37">
        <f t="shared" si="14"/>
        <v>100</v>
      </c>
      <c r="R78" s="32">
        <v>1</v>
      </c>
    </row>
    <row r="79" spans="1:18" ht="13.15" x14ac:dyDescent="0.4">
      <c r="A79" s="5" t="s">
        <v>94</v>
      </c>
      <c r="B79" s="36">
        <v>1</v>
      </c>
      <c r="C79" s="36">
        <v>1</v>
      </c>
      <c r="D79" s="36">
        <v>1</v>
      </c>
      <c r="E79" s="36">
        <v>1</v>
      </c>
      <c r="F79" s="36">
        <v>1</v>
      </c>
      <c r="G79" s="36">
        <v>1</v>
      </c>
      <c r="H79" s="36">
        <v>1</v>
      </c>
      <c r="I79" s="36">
        <v>1</v>
      </c>
      <c r="J79" s="36">
        <v>1</v>
      </c>
      <c r="K79" s="36">
        <v>1</v>
      </c>
      <c r="L79" s="36">
        <v>1</v>
      </c>
      <c r="M79" s="36">
        <v>1</v>
      </c>
      <c r="N79" s="36">
        <v>1</v>
      </c>
      <c r="O79" s="36">
        <v>1</v>
      </c>
      <c r="P79" s="37">
        <f t="shared" si="14"/>
        <v>100</v>
      </c>
      <c r="R79" s="32">
        <v>2</v>
      </c>
    </row>
    <row r="80" spans="1:18" ht="13.15" x14ac:dyDescent="0.4">
      <c r="A80" s="5" t="s">
        <v>140</v>
      </c>
      <c r="B80" s="36">
        <v>1</v>
      </c>
      <c r="C80" s="36">
        <v>1</v>
      </c>
      <c r="D80" s="36">
        <v>1</v>
      </c>
      <c r="E80" s="36">
        <v>1</v>
      </c>
      <c r="F80" s="36">
        <v>1</v>
      </c>
      <c r="G80" s="36">
        <v>1</v>
      </c>
      <c r="H80" s="36">
        <v>1</v>
      </c>
      <c r="I80" s="36">
        <v>1</v>
      </c>
      <c r="J80" s="36">
        <v>1</v>
      </c>
      <c r="K80" s="36">
        <v>1</v>
      </c>
      <c r="L80" s="36">
        <v>1</v>
      </c>
      <c r="M80" s="36">
        <v>1</v>
      </c>
      <c r="N80" s="36">
        <v>1</v>
      </c>
      <c r="O80" s="36">
        <v>1</v>
      </c>
      <c r="P80" s="37">
        <f t="shared" si="14"/>
        <v>100</v>
      </c>
      <c r="R80" s="32">
        <v>7</v>
      </c>
    </row>
    <row r="81" spans="1:18" ht="13.15" x14ac:dyDescent="0.4">
      <c r="A81" s="5" t="s">
        <v>95</v>
      </c>
      <c r="B81" s="36">
        <v>1</v>
      </c>
      <c r="C81" s="36">
        <v>1</v>
      </c>
      <c r="D81" s="36">
        <v>1</v>
      </c>
      <c r="E81" s="36">
        <v>1</v>
      </c>
      <c r="F81" s="36">
        <v>1</v>
      </c>
      <c r="G81" s="36">
        <v>1</v>
      </c>
      <c r="H81" s="36">
        <v>1</v>
      </c>
      <c r="I81" s="36">
        <v>1</v>
      </c>
      <c r="J81" s="36">
        <v>1</v>
      </c>
      <c r="K81" s="36">
        <v>1</v>
      </c>
      <c r="L81" s="36">
        <v>1</v>
      </c>
      <c r="M81" s="36">
        <v>1</v>
      </c>
      <c r="N81" s="36">
        <v>1</v>
      </c>
      <c r="O81" s="36">
        <v>1</v>
      </c>
      <c r="P81" s="37">
        <f t="shared" si="14"/>
        <v>100</v>
      </c>
      <c r="R81" s="32">
        <v>2</v>
      </c>
    </row>
    <row r="82" spans="1:18" ht="13.15" x14ac:dyDescent="0.4">
      <c r="A82" s="5" t="s">
        <v>96</v>
      </c>
      <c r="B82" s="36">
        <v>1</v>
      </c>
      <c r="C82" s="36">
        <v>1</v>
      </c>
      <c r="D82" s="36">
        <v>1</v>
      </c>
      <c r="E82" s="36">
        <v>1</v>
      </c>
      <c r="F82" s="36">
        <v>1</v>
      </c>
      <c r="G82" s="36">
        <v>1</v>
      </c>
      <c r="H82" s="36">
        <v>1</v>
      </c>
      <c r="I82" s="36">
        <v>1</v>
      </c>
      <c r="J82" s="36">
        <v>1</v>
      </c>
      <c r="K82" s="36">
        <v>1</v>
      </c>
      <c r="L82" s="36">
        <v>1</v>
      </c>
      <c r="M82" s="36">
        <v>1</v>
      </c>
      <c r="N82" s="36">
        <v>1</v>
      </c>
      <c r="O82" s="36">
        <v>1</v>
      </c>
      <c r="P82" s="37">
        <f t="shared" si="14"/>
        <v>100</v>
      </c>
      <c r="R82" s="32">
        <v>2</v>
      </c>
    </row>
    <row r="83" spans="1:18" ht="13.15" x14ac:dyDescent="0.4">
      <c r="A83" s="5" t="s">
        <v>141</v>
      </c>
      <c r="B83" s="36">
        <v>0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7">
        <f t="shared" si="14"/>
        <v>0</v>
      </c>
      <c r="R83" s="32"/>
    </row>
    <row r="84" spans="1:18" ht="13.15" x14ac:dyDescent="0.4">
      <c r="A84" s="5" t="s">
        <v>142</v>
      </c>
      <c r="B84" s="36">
        <v>1</v>
      </c>
      <c r="C84" s="36">
        <v>1</v>
      </c>
      <c r="D84" s="36">
        <v>1</v>
      </c>
      <c r="E84" s="36">
        <v>1</v>
      </c>
      <c r="F84" s="36">
        <v>1</v>
      </c>
      <c r="G84" s="36">
        <v>1</v>
      </c>
      <c r="H84" s="36">
        <v>1</v>
      </c>
      <c r="I84" s="36">
        <v>1</v>
      </c>
      <c r="J84" s="36">
        <v>1</v>
      </c>
      <c r="K84" s="36">
        <v>1</v>
      </c>
      <c r="L84" s="36">
        <v>1</v>
      </c>
      <c r="M84" s="36">
        <v>1</v>
      </c>
      <c r="N84" s="36">
        <v>1</v>
      </c>
      <c r="O84" s="36">
        <v>1</v>
      </c>
      <c r="P84" s="37">
        <f t="shared" si="14"/>
        <v>100</v>
      </c>
      <c r="R84" s="32">
        <v>3</v>
      </c>
    </row>
    <row r="85" spans="1:18" ht="13.15" x14ac:dyDescent="0.4">
      <c r="A85" s="5" t="s">
        <v>143</v>
      </c>
      <c r="B85" s="36">
        <v>1</v>
      </c>
      <c r="C85" s="36">
        <v>1</v>
      </c>
      <c r="D85" s="36">
        <v>1</v>
      </c>
      <c r="E85" s="36">
        <v>1</v>
      </c>
      <c r="F85" s="36">
        <v>1</v>
      </c>
      <c r="G85" s="36">
        <v>1</v>
      </c>
      <c r="H85" s="36">
        <v>1</v>
      </c>
      <c r="I85" s="36">
        <v>1</v>
      </c>
      <c r="J85" s="36">
        <v>1</v>
      </c>
      <c r="K85" s="36">
        <v>1</v>
      </c>
      <c r="L85" s="36">
        <v>1</v>
      </c>
      <c r="M85" s="36">
        <v>1</v>
      </c>
      <c r="N85" s="36">
        <v>1</v>
      </c>
      <c r="O85" s="36">
        <v>1</v>
      </c>
      <c r="P85" s="37">
        <f t="shared" si="14"/>
        <v>100</v>
      </c>
      <c r="R85" s="32">
        <v>3</v>
      </c>
    </row>
    <row r="86" spans="1:18" ht="13.15" x14ac:dyDescent="0.4">
      <c r="A86" s="5" t="s">
        <v>97</v>
      </c>
      <c r="B86" s="36">
        <v>1</v>
      </c>
      <c r="C86" s="36">
        <v>1</v>
      </c>
      <c r="D86" s="36">
        <v>1</v>
      </c>
      <c r="E86" s="36">
        <v>1</v>
      </c>
      <c r="F86" s="36">
        <v>1</v>
      </c>
      <c r="G86" s="36">
        <v>1</v>
      </c>
      <c r="H86" s="36">
        <v>1</v>
      </c>
      <c r="I86" s="36">
        <v>1</v>
      </c>
      <c r="J86" s="36">
        <v>1</v>
      </c>
      <c r="K86" s="36">
        <v>1</v>
      </c>
      <c r="L86" s="36">
        <v>1</v>
      </c>
      <c r="M86" s="36">
        <v>1</v>
      </c>
      <c r="N86" s="36">
        <v>1</v>
      </c>
      <c r="O86" s="36">
        <v>1</v>
      </c>
      <c r="P86" s="37">
        <f t="shared" si="14"/>
        <v>100</v>
      </c>
      <c r="R86" s="32">
        <v>1</v>
      </c>
    </row>
    <row r="87" spans="1:18" ht="13.15" x14ac:dyDescent="0.4">
      <c r="A87" s="5" t="s">
        <v>98</v>
      </c>
      <c r="B87" s="36">
        <v>1</v>
      </c>
      <c r="C87" s="36">
        <v>1</v>
      </c>
      <c r="D87" s="36">
        <v>1</v>
      </c>
      <c r="E87" s="36">
        <v>1</v>
      </c>
      <c r="F87" s="36">
        <v>1</v>
      </c>
      <c r="G87" s="36">
        <v>1</v>
      </c>
      <c r="H87" s="36">
        <v>1</v>
      </c>
      <c r="I87" s="36">
        <v>1</v>
      </c>
      <c r="J87" s="36">
        <v>1</v>
      </c>
      <c r="K87" s="36">
        <v>1</v>
      </c>
      <c r="L87" s="36">
        <v>1</v>
      </c>
      <c r="M87" s="36">
        <v>1</v>
      </c>
      <c r="N87" s="36">
        <v>1</v>
      </c>
      <c r="O87" s="36">
        <v>1</v>
      </c>
      <c r="P87" s="37">
        <f t="shared" si="14"/>
        <v>100</v>
      </c>
      <c r="R87" s="32">
        <v>5</v>
      </c>
    </row>
    <row r="88" spans="1:18" ht="13.15" x14ac:dyDescent="0.4">
      <c r="A88" s="5" t="s">
        <v>144</v>
      </c>
      <c r="B88" s="36">
        <v>1</v>
      </c>
      <c r="C88" s="36">
        <v>1</v>
      </c>
      <c r="D88" s="36">
        <v>1</v>
      </c>
      <c r="E88" s="36">
        <v>1</v>
      </c>
      <c r="F88" s="36">
        <v>1</v>
      </c>
      <c r="G88" s="36">
        <v>1</v>
      </c>
      <c r="H88" s="36">
        <v>1</v>
      </c>
      <c r="I88" s="36">
        <v>1</v>
      </c>
      <c r="J88" s="36">
        <v>1</v>
      </c>
      <c r="K88" s="36">
        <v>1</v>
      </c>
      <c r="L88" s="36">
        <v>1</v>
      </c>
      <c r="M88" s="36">
        <v>1</v>
      </c>
      <c r="N88" s="36">
        <v>1</v>
      </c>
      <c r="O88" s="36">
        <v>1</v>
      </c>
      <c r="P88" s="37">
        <f t="shared" si="14"/>
        <v>100</v>
      </c>
      <c r="R88" s="32">
        <v>4</v>
      </c>
    </row>
    <row r="89" spans="1:18" ht="13.15" x14ac:dyDescent="0.4">
      <c r="A89" s="5" t="s">
        <v>99</v>
      </c>
      <c r="B89" s="36">
        <v>1</v>
      </c>
      <c r="C89" s="36">
        <v>1</v>
      </c>
      <c r="D89" s="36">
        <v>1</v>
      </c>
      <c r="E89" s="36">
        <v>1</v>
      </c>
      <c r="F89" s="36">
        <v>1</v>
      </c>
      <c r="G89" s="36">
        <v>1</v>
      </c>
      <c r="H89" s="36">
        <v>1</v>
      </c>
      <c r="I89" s="36">
        <v>1</v>
      </c>
      <c r="J89" s="36">
        <v>1</v>
      </c>
      <c r="K89" s="36">
        <v>1</v>
      </c>
      <c r="L89" s="36">
        <v>1</v>
      </c>
      <c r="M89" s="36">
        <v>1</v>
      </c>
      <c r="N89" s="36">
        <v>1</v>
      </c>
      <c r="O89" s="36">
        <v>1</v>
      </c>
      <c r="P89" s="37">
        <f t="shared" si="14"/>
        <v>100</v>
      </c>
      <c r="R89" s="32">
        <v>7</v>
      </c>
    </row>
    <row r="90" spans="1:18" ht="13.15" x14ac:dyDescent="0.4">
      <c r="A90" s="5" t="s">
        <v>100</v>
      </c>
      <c r="B90" s="36">
        <v>1</v>
      </c>
      <c r="C90" s="36">
        <v>1</v>
      </c>
      <c r="D90" s="36">
        <v>1</v>
      </c>
      <c r="E90" s="36">
        <v>1</v>
      </c>
      <c r="F90" s="36">
        <v>1</v>
      </c>
      <c r="G90" s="36">
        <v>1</v>
      </c>
      <c r="H90" s="36">
        <v>1</v>
      </c>
      <c r="I90" s="36">
        <v>1</v>
      </c>
      <c r="J90" s="36">
        <v>1</v>
      </c>
      <c r="K90" s="36">
        <v>1</v>
      </c>
      <c r="L90" s="36">
        <v>1</v>
      </c>
      <c r="M90" s="36">
        <v>1</v>
      </c>
      <c r="N90" s="36">
        <v>1</v>
      </c>
      <c r="O90" s="36">
        <v>1</v>
      </c>
      <c r="P90" s="37">
        <f t="shared" si="14"/>
        <v>100</v>
      </c>
      <c r="R90" s="32">
        <v>6</v>
      </c>
    </row>
  </sheetData>
  <sheetProtection selectLockedCells="1" selectUnlockedCells="1"/>
  <mergeCells count="3">
    <mergeCell ref="A1:K1"/>
    <mergeCell ref="A32:F32"/>
    <mergeCell ref="A62:P62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500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Teoria</vt:lpstr>
      <vt:lpstr>Retroalimentacion</vt:lpstr>
      <vt:lpstr>Proyecto</vt:lpstr>
      <vt:lpstr>PortafolioEvidencias</vt:lpstr>
      <vt:lpstr>AprendizajeColaborativo</vt:lpstr>
      <vt:lpstr>AprendizajeColaborativo_P1</vt:lpstr>
      <vt:lpstr>AprendizajeColaborativo_P2</vt:lpstr>
      <vt:lpstr>AprendizajeColaborativo_P3</vt:lpstr>
      <vt:lpstr>AprendizajeColaborativo_P4</vt:lpstr>
      <vt:lpstr>Quices</vt:lpstr>
      <vt:lpstr>Tareas</vt:lpstr>
      <vt:lpstr>Examenes</vt:lpstr>
      <vt:lpstr>DV-IDENTITY-0</vt:lpstr>
      <vt:lpstr>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kryscia</dc:creator>
  <cp:lastModifiedBy>Kryscia Ramírez Benavides</cp:lastModifiedBy>
  <cp:revision>86</cp:revision>
  <cp:lastPrinted>2018-11-01T16:56:53Z</cp:lastPrinted>
  <dcterms:created xsi:type="dcterms:W3CDTF">1601-01-01T00:00:00Z</dcterms:created>
  <dcterms:modified xsi:type="dcterms:W3CDTF">2020-12-07T22:41:44Z</dcterms:modified>
</cp:coreProperties>
</file>