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Dropbox\Curso RI\Notas\"/>
    </mc:Choice>
  </mc:AlternateContent>
  <xr:revisionPtr revIDLastSave="0" documentId="13_ncr:1_{121EF5A7-77ED-4960-9357-BD7F8DD8A97A}" xr6:coauthVersionLast="44" xr6:coauthVersionMax="44" xr10:uidLastSave="{00000000-0000-0000-0000-000000000000}"/>
  <bookViews>
    <workbookView xWindow="-98" yWindow="-98" windowWidth="22695" windowHeight="14595" xr2:uid="{00000000-000D-0000-FFFF-FFFF00000000}"/>
  </bookViews>
  <sheets>
    <sheet name="Teoria" sheetId="1" r:id="rId1"/>
    <sheet name="Quices" sheetId="2" r:id="rId2"/>
    <sheet name="Tareas" sheetId="3" r:id="rId3"/>
    <sheet name="Investigación" sheetId="4" r:id="rId4"/>
    <sheet name="Evaluaciones" sheetId="5" r:id="rId5"/>
    <sheet name="Proyecto" sheetId="6" r:id="rId6"/>
    <sheet name="GruposInv" sheetId="8" r:id="rId7"/>
    <sheet name="GruposProy" sheetId="9" r:id="rId8"/>
    <sheet name="DV-IDENTITY-0" sheetId="12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6" l="1"/>
  <c r="C49" i="6"/>
  <c r="C48" i="6"/>
  <c r="C47" i="6"/>
  <c r="C39" i="6" l="1"/>
  <c r="C38" i="6"/>
  <c r="F7" i="5" l="1"/>
  <c r="F8" i="5"/>
  <c r="F9" i="5"/>
  <c r="F10" i="5"/>
  <c r="F11" i="5"/>
  <c r="F12" i="5"/>
  <c r="F13" i="5"/>
  <c r="F6" i="5"/>
  <c r="D6" i="4" s="1"/>
  <c r="B21" i="4" l="1"/>
  <c r="C19" i="4"/>
  <c r="B19" i="4"/>
  <c r="B18" i="4"/>
  <c r="B34" i="6" l="1"/>
  <c r="E31" i="6"/>
  <c r="D31" i="6"/>
  <c r="C31" i="6"/>
  <c r="B31" i="6"/>
  <c r="C29" i="6"/>
  <c r="C28" i="6"/>
  <c r="C46" i="3" l="1"/>
  <c r="E50" i="3"/>
  <c r="D50" i="3"/>
  <c r="C18" i="6" l="1"/>
  <c r="C17" i="6"/>
  <c r="D16" i="3" l="1"/>
  <c r="C21" i="3"/>
  <c r="C16" i="3"/>
  <c r="C18" i="3"/>
  <c r="C17" i="3"/>
  <c r="D17" i="4" l="1"/>
  <c r="D18" i="4"/>
  <c r="D19" i="4"/>
  <c r="D20" i="4"/>
  <c r="E9" i="4" s="1"/>
  <c r="D21" i="4"/>
  <c r="E10" i="4" s="1"/>
  <c r="D22" i="4"/>
  <c r="E11" i="4" s="1"/>
  <c r="D23" i="4"/>
  <c r="E12" i="4" s="1"/>
  <c r="D24" i="4"/>
  <c r="E13" i="4" s="1"/>
  <c r="A1" i="12"/>
  <c r="B1" i="12"/>
  <c r="C1" i="12"/>
  <c r="D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X1" i="12"/>
  <c r="Y1" i="12"/>
  <c r="Z1" i="12"/>
  <c r="AA1" i="12"/>
  <c r="AB1" i="12"/>
  <c r="AC1" i="12"/>
  <c r="AD1" i="12"/>
  <c r="AE1" i="12"/>
  <c r="AF1" i="12"/>
  <c r="AG1" i="12"/>
  <c r="AH1" i="12"/>
  <c r="AI1" i="12"/>
  <c r="AJ1" i="12"/>
  <c r="AK1" i="12"/>
  <c r="AL1" i="12"/>
  <c r="AM1" i="12"/>
  <c r="AN1" i="12"/>
  <c r="AO1" i="12"/>
  <c r="AP1" i="12"/>
  <c r="AQ1" i="12"/>
  <c r="AR1" i="12"/>
  <c r="AS1" i="12"/>
  <c r="AT1" i="12"/>
  <c r="AU1" i="12"/>
  <c r="AV1" i="12"/>
  <c r="AW1" i="12"/>
  <c r="AX1" i="12"/>
  <c r="AY1" i="12"/>
  <c r="AZ1" i="12"/>
  <c r="BA1" i="12"/>
  <c r="BB1" i="12"/>
  <c r="BC1" i="12"/>
  <c r="BD1" i="12"/>
  <c r="BE1" i="12"/>
  <c r="BF1" i="12"/>
  <c r="BG1" i="12"/>
  <c r="BH1" i="12"/>
  <c r="BI1" i="12"/>
  <c r="BJ1" i="12"/>
  <c r="BK1" i="12"/>
  <c r="BL1" i="12"/>
  <c r="BM1" i="12"/>
  <c r="BN1" i="12"/>
  <c r="BO1" i="12"/>
  <c r="BP1" i="12"/>
  <c r="BQ1" i="12"/>
  <c r="BR1" i="12"/>
  <c r="BS1" i="12"/>
  <c r="BT1" i="12"/>
  <c r="BU1" i="12"/>
  <c r="BV1" i="12"/>
  <c r="BW1" i="12"/>
  <c r="BX1" i="12"/>
  <c r="BY1" i="12"/>
  <c r="BZ1" i="12"/>
  <c r="CA1" i="12"/>
  <c r="CB1" i="12"/>
  <c r="CC1" i="12"/>
  <c r="CD1" i="12"/>
  <c r="CE1" i="12"/>
  <c r="CF1" i="12"/>
  <c r="CG1" i="12"/>
  <c r="CH1" i="12"/>
  <c r="CI1" i="12"/>
  <c r="CJ1" i="12"/>
  <c r="CK1" i="12"/>
  <c r="CL1" i="12"/>
  <c r="CM1" i="12"/>
  <c r="CN1" i="12"/>
  <c r="CO1" i="12"/>
  <c r="CP1" i="12"/>
  <c r="CQ1" i="12"/>
  <c r="CR1" i="12"/>
  <c r="CS1" i="12"/>
  <c r="CT1" i="12"/>
  <c r="CU1" i="12"/>
  <c r="CV1" i="12"/>
  <c r="CW1" i="12"/>
  <c r="CX1" i="12"/>
  <c r="CY1" i="12"/>
  <c r="CZ1" i="12"/>
  <c r="DA1" i="12"/>
  <c r="DB1" i="12"/>
  <c r="DC1" i="12"/>
  <c r="DD1" i="12"/>
  <c r="DE1" i="12"/>
  <c r="DF1" i="12"/>
  <c r="DG1" i="12"/>
  <c r="DH1" i="12"/>
  <c r="DI1" i="12"/>
  <c r="DJ1" i="12"/>
  <c r="DK1" i="12"/>
  <c r="DL1" i="12"/>
  <c r="DM1" i="12"/>
  <c r="DN1" i="12"/>
  <c r="DO1" i="12"/>
  <c r="DP1" i="12"/>
  <c r="DQ1" i="12"/>
  <c r="DR1" i="12"/>
  <c r="DS1" i="12"/>
  <c r="DT1" i="12"/>
  <c r="DU1" i="12"/>
  <c r="DV1" i="12"/>
  <c r="DW1" i="12"/>
  <c r="DX1" i="12"/>
  <c r="DY1" i="12"/>
  <c r="DZ1" i="12"/>
  <c r="EA1" i="12"/>
  <c r="EB1" i="12"/>
  <c r="EC1" i="12"/>
  <c r="ED1" i="12"/>
  <c r="EE1" i="12"/>
  <c r="EF1" i="12"/>
  <c r="EG1" i="12"/>
  <c r="EH1" i="12"/>
  <c r="EI1" i="12"/>
  <c r="EJ1" i="12"/>
  <c r="EK1" i="12"/>
  <c r="EL1" i="12"/>
  <c r="EM1" i="12"/>
  <c r="EN1" i="12"/>
  <c r="EO1" i="12"/>
  <c r="EP1" i="12"/>
  <c r="EQ1" i="12"/>
  <c r="ER1" i="12"/>
  <c r="ES1" i="12"/>
  <c r="ET1" i="12"/>
  <c r="EU1" i="12"/>
  <c r="EV1" i="12"/>
  <c r="EW1" i="12"/>
  <c r="EX1" i="12"/>
  <c r="EY1" i="12"/>
  <c r="EZ1" i="12"/>
  <c r="FA1" i="12"/>
  <c r="FB1" i="12"/>
  <c r="FC1" i="12"/>
  <c r="FD1" i="12"/>
  <c r="FE1" i="12"/>
  <c r="FF1" i="12"/>
  <c r="FG1" i="12"/>
  <c r="FH1" i="12"/>
  <c r="FI1" i="12"/>
  <c r="FJ1" i="12"/>
  <c r="FK1" i="12"/>
  <c r="FL1" i="12"/>
  <c r="FM1" i="12"/>
  <c r="FN1" i="12"/>
  <c r="FO1" i="12"/>
  <c r="FP1" i="12"/>
  <c r="FQ1" i="12"/>
  <c r="FR1" i="12"/>
  <c r="FS1" i="12"/>
  <c r="FT1" i="12"/>
  <c r="FU1" i="12"/>
  <c r="FV1" i="12"/>
  <c r="FW1" i="12"/>
  <c r="FX1" i="12"/>
  <c r="FY1" i="12"/>
  <c r="FZ1" i="12"/>
  <c r="GA1" i="12"/>
  <c r="GB1" i="12"/>
  <c r="GC1" i="12"/>
  <c r="GD1" i="12"/>
  <c r="GE1" i="12"/>
  <c r="GF1" i="12"/>
  <c r="GG1" i="12"/>
  <c r="GH1" i="12"/>
  <c r="GI1" i="12"/>
  <c r="GJ1" i="12"/>
  <c r="GK1" i="12"/>
  <c r="GL1" i="12"/>
  <c r="GM1" i="12"/>
  <c r="GN1" i="12"/>
  <c r="GO1" i="12"/>
  <c r="GP1" i="12"/>
  <c r="GQ1" i="12"/>
  <c r="GR1" i="12"/>
  <c r="GS1" i="12"/>
  <c r="GT1" i="12"/>
  <c r="GU1" i="12"/>
  <c r="GV1" i="12"/>
  <c r="GW1" i="12"/>
  <c r="GX1" i="12"/>
  <c r="GY1" i="12"/>
  <c r="GZ1" i="12"/>
  <c r="HA1" i="12"/>
  <c r="HB1" i="12"/>
  <c r="HC1" i="12"/>
  <c r="HD1" i="12"/>
  <c r="HE1" i="12"/>
  <c r="HF1" i="12"/>
  <c r="HG1" i="12"/>
  <c r="HH1" i="12"/>
  <c r="HI1" i="12"/>
  <c r="HJ1" i="12"/>
  <c r="HK1" i="12"/>
  <c r="HL1" i="12"/>
  <c r="HM1" i="12"/>
  <c r="HN1" i="12"/>
  <c r="HO1" i="12"/>
  <c r="HP1" i="12"/>
  <c r="HQ1" i="12"/>
  <c r="HR1" i="12"/>
  <c r="HS1" i="12"/>
  <c r="HT1" i="12"/>
  <c r="HU1" i="12"/>
  <c r="HV1" i="12"/>
  <c r="HW1" i="12"/>
  <c r="HX1" i="12"/>
  <c r="HY1" i="12"/>
  <c r="HZ1" i="12"/>
  <c r="IA1" i="12"/>
  <c r="IB1" i="12"/>
  <c r="IC1" i="12"/>
  <c r="ID1" i="12"/>
  <c r="IE1" i="12"/>
  <c r="IF1" i="12"/>
  <c r="IG1" i="12"/>
  <c r="IH1" i="12"/>
  <c r="II1" i="12"/>
  <c r="IJ1" i="12"/>
  <c r="IK1" i="12"/>
  <c r="IL1" i="12"/>
  <c r="IM1" i="12"/>
  <c r="IN1" i="12"/>
  <c r="IO1" i="12"/>
  <c r="IP1" i="12"/>
  <c r="IQ1" i="12"/>
  <c r="IR1" i="12"/>
  <c r="IS1" i="12"/>
  <c r="IT1" i="12"/>
  <c r="IU1" i="12"/>
  <c r="IV1" i="12"/>
  <c r="A2" i="12"/>
  <c r="B2" i="12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AA2" i="12"/>
  <c r="AB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AO2" i="12"/>
  <c r="AP2" i="12"/>
  <c r="AQ2" i="12"/>
  <c r="AR2" i="12"/>
  <c r="AS2" i="12"/>
  <c r="AT2" i="12"/>
  <c r="AU2" i="12"/>
  <c r="AV2" i="12"/>
  <c r="AW2" i="12"/>
  <c r="AX2" i="12"/>
  <c r="AY2" i="12"/>
  <c r="AZ2" i="12"/>
  <c r="BA2" i="12"/>
  <c r="BB2" i="12"/>
  <c r="BC2" i="12"/>
  <c r="BD2" i="12"/>
  <c r="BE2" i="12"/>
  <c r="BF2" i="12"/>
  <c r="BG2" i="12"/>
  <c r="BH2" i="12"/>
  <c r="BI2" i="12"/>
  <c r="BJ2" i="12"/>
  <c r="BK2" i="12"/>
  <c r="BL2" i="12"/>
  <c r="BM2" i="12"/>
  <c r="BN2" i="12"/>
  <c r="BO2" i="12"/>
  <c r="BP2" i="12"/>
  <c r="BQ2" i="12"/>
  <c r="BR2" i="12"/>
  <c r="BS2" i="12"/>
  <c r="BT2" i="12"/>
  <c r="BU2" i="12"/>
  <c r="BV2" i="12"/>
  <c r="BW2" i="12"/>
  <c r="BX2" i="12"/>
  <c r="BY2" i="12"/>
  <c r="BZ2" i="12"/>
  <c r="CA2" i="12"/>
  <c r="CB2" i="12"/>
  <c r="CC2" i="12"/>
  <c r="CD2" i="12"/>
  <c r="CE2" i="12"/>
  <c r="CF2" i="12"/>
  <c r="CG2" i="12"/>
  <c r="CH2" i="12"/>
  <c r="CI2" i="12"/>
  <c r="CJ2" i="12"/>
  <c r="CK2" i="12"/>
  <c r="CL2" i="12"/>
  <c r="CM2" i="12"/>
  <c r="CN2" i="12"/>
  <c r="CO2" i="12"/>
  <c r="CP2" i="12"/>
  <c r="CQ2" i="12"/>
  <c r="CR2" i="12"/>
  <c r="CS2" i="12"/>
  <c r="CT2" i="12"/>
  <c r="CU2" i="12"/>
  <c r="CV2" i="12"/>
  <c r="CW2" i="12"/>
  <c r="CX2" i="12"/>
  <c r="CY2" i="12"/>
  <c r="CZ2" i="12"/>
  <c r="DA2" i="12"/>
  <c r="DB2" i="12"/>
  <c r="DC2" i="12"/>
  <c r="DD2" i="12"/>
  <c r="DE2" i="12"/>
  <c r="DF2" i="12"/>
  <c r="DG2" i="12"/>
  <c r="DH2" i="12"/>
  <c r="DI2" i="12"/>
  <c r="DJ2" i="12"/>
  <c r="DK2" i="12"/>
  <c r="DL2" i="12"/>
  <c r="DM2" i="12"/>
  <c r="DN2" i="12"/>
  <c r="DO2" i="12"/>
  <c r="DP2" i="12"/>
  <c r="DQ2" i="12"/>
  <c r="DR2" i="12"/>
  <c r="DS2" i="12"/>
  <c r="DT2" i="12"/>
  <c r="DU2" i="12"/>
  <c r="DV2" i="12"/>
  <c r="DW2" i="12"/>
  <c r="DX2" i="12"/>
  <c r="DY2" i="12"/>
  <c r="DZ2" i="12"/>
  <c r="EA2" i="12"/>
  <c r="EB2" i="12"/>
  <c r="EC2" i="12"/>
  <c r="ED2" i="12"/>
  <c r="EE2" i="12"/>
  <c r="EF2" i="12"/>
  <c r="EG2" i="12"/>
  <c r="EH2" i="12"/>
  <c r="EI2" i="12"/>
  <c r="EJ2" i="12"/>
  <c r="EK2" i="12"/>
  <c r="EL2" i="12"/>
  <c r="EM2" i="12"/>
  <c r="EN2" i="12"/>
  <c r="EO2" i="12"/>
  <c r="EP2" i="12"/>
  <c r="EQ2" i="12"/>
  <c r="ER2" i="12"/>
  <c r="ES2" i="12"/>
  <c r="ET2" i="12"/>
  <c r="EU2" i="12"/>
  <c r="EV2" i="12"/>
  <c r="EW2" i="12"/>
  <c r="EX2" i="12"/>
  <c r="EY2" i="12"/>
  <c r="EZ2" i="12"/>
  <c r="FA2" i="12"/>
  <c r="FB2" i="12"/>
  <c r="FC2" i="12"/>
  <c r="FD2" i="12"/>
  <c r="FE2" i="12"/>
  <c r="FF2" i="12"/>
  <c r="FG2" i="12"/>
  <c r="FH2" i="12"/>
  <c r="FI2" i="12"/>
  <c r="FJ2" i="12"/>
  <c r="FK2" i="12"/>
  <c r="FL2" i="12"/>
  <c r="FM2" i="12"/>
  <c r="FN2" i="12"/>
  <c r="FO2" i="12"/>
  <c r="FP2" i="12"/>
  <c r="FQ2" i="12"/>
  <c r="FR2" i="12"/>
  <c r="FS2" i="12"/>
  <c r="FT2" i="12"/>
  <c r="FU2" i="12"/>
  <c r="FV2" i="12"/>
  <c r="FW2" i="12"/>
  <c r="FX2" i="12"/>
  <c r="FY2" i="12"/>
  <c r="FZ2" i="12"/>
  <c r="GA2" i="12"/>
  <c r="GB2" i="12"/>
  <c r="GC2" i="12"/>
  <c r="GD2" i="12"/>
  <c r="GE2" i="12"/>
  <c r="GF2" i="12"/>
  <c r="GG2" i="12"/>
  <c r="GH2" i="12"/>
  <c r="GI2" i="12"/>
  <c r="GJ2" i="12"/>
  <c r="GK2" i="12"/>
  <c r="GL2" i="12"/>
  <c r="GM2" i="12"/>
  <c r="GN2" i="12"/>
  <c r="GO2" i="12"/>
  <c r="GP2" i="12"/>
  <c r="GQ2" i="12"/>
  <c r="GR2" i="12"/>
  <c r="GS2" i="12"/>
  <c r="GT2" i="12"/>
  <c r="GU2" i="12"/>
  <c r="GV2" i="12"/>
  <c r="GW2" i="12"/>
  <c r="GX2" i="12"/>
  <c r="GY2" i="12"/>
  <c r="GZ2" i="12"/>
  <c r="HA2" i="12"/>
  <c r="HB2" i="12"/>
  <c r="HC2" i="12"/>
  <c r="HD2" i="12"/>
  <c r="HE2" i="12"/>
  <c r="HF2" i="12"/>
  <c r="HG2" i="12"/>
  <c r="HH2" i="12"/>
  <c r="HI2" i="12"/>
  <c r="HJ2" i="12"/>
  <c r="HK2" i="12"/>
  <c r="HL2" i="12"/>
  <c r="HM2" i="12"/>
  <c r="HN2" i="12"/>
  <c r="HO2" i="12"/>
  <c r="HP2" i="12"/>
  <c r="HQ2" i="12"/>
  <c r="HR2" i="12"/>
  <c r="HS2" i="12"/>
  <c r="HT2" i="12"/>
  <c r="HU2" i="12"/>
  <c r="HV2" i="12"/>
  <c r="HW2" i="12"/>
  <c r="HX2" i="12"/>
  <c r="HY2" i="12"/>
  <c r="HZ2" i="12"/>
  <c r="IA2" i="12"/>
  <c r="IB2" i="12"/>
  <c r="IC2" i="12"/>
  <c r="ID2" i="12"/>
  <c r="IE2" i="12"/>
  <c r="IF2" i="12"/>
  <c r="IG2" i="12"/>
  <c r="IH2" i="12"/>
  <c r="II2" i="12"/>
  <c r="IJ2" i="12"/>
  <c r="IK2" i="12"/>
  <c r="IL2" i="12"/>
  <c r="IM2" i="12"/>
  <c r="IN2" i="12"/>
  <c r="IO2" i="12"/>
  <c r="IP2" i="12"/>
  <c r="IQ2" i="12"/>
  <c r="IR2" i="12"/>
  <c r="IS2" i="12"/>
  <c r="IT2" i="12"/>
  <c r="IU2" i="12"/>
  <c r="IV2" i="12"/>
  <c r="A3" i="12"/>
  <c r="B3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AV3" i="12"/>
  <c r="AW3" i="12"/>
  <c r="AX3" i="12"/>
  <c r="AY3" i="12"/>
  <c r="AZ3" i="12"/>
  <c r="BA3" i="12"/>
  <c r="BB3" i="12"/>
  <c r="BC3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S3" i="12"/>
  <c r="BT3" i="12"/>
  <c r="BU3" i="12"/>
  <c r="BV3" i="12"/>
  <c r="BW3" i="12"/>
  <c r="BX3" i="12"/>
  <c r="BY3" i="12"/>
  <c r="BZ3" i="12"/>
  <c r="CA3" i="12"/>
  <c r="CB3" i="12"/>
  <c r="CC3" i="12"/>
  <c r="CD3" i="12"/>
  <c r="CE3" i="12"/>
  <c r="CF3" i="12"/>
  <c r="CG3" i="12"/>
  <c r="CH3" i="12"/>
  <c r="CI3" i="12"/>
  <c r="CJ3" i="12"/>
  <c r="CK3" i="12"/>
  <c r="CL3" i="12"/>
  <c r="CM3" i="12"/>
  <c r="CN3" i="12"/>
  <c r="CO3" i="12"/>
  <c r="CP3" i="12"/>
  <c r="CQ3" i="12"/>
  <c r="CR3" i="12"/>
  <c r="CS3" i="12"/>
  <c r="CT3" i="12"/>
  <c r="CU3" i="12"/>
  <c r="CV3" i="12"/>
  <c r="CW3" i="12"/>
  <c r="CX3" i="12"/>
  <c r="CY3" i="12"/>
  <c r="CZ3" i="12"/>
  <c r="DA3" i="12"/>
  <c r="DB3" i="12"/>
  <c r="DC3" i="12"/>
  <c r="DD3" i="12"/>
  <c r="DE3" i="12"/>
  <c r="DF3" i="12"/>
  <c r="DG3" i="12"/>
  <c r="DH3" i="12"/>
  <c r="DI3" i="12"/>
  <c r="DJ3" i="12"/>
  <c r="DK3" i="12"/>
  <c r="DL3" i="12"/>
  <c r="DM3" i="12"/>
  <c r="DN3" i="12"/>
  <c r="DO3" i="12"/>
  <c r="DP3" i="12"/>
  <c r="DQ3" i="12"/>
  <c r="DR3" i="12"/>
  <c r="DS3" i="12"/>
  <c r="DT3" i="12"/>
  <c r="DU3" i="12"/>
  <c r="DV3" i="12"/>
  <c r="DW3" i="12"/>
  <c r="DX3" i="12"/>
  <c r="DY3" i="12"/>
  <c r="DZ3" i="12"/>
  <c r="EA3" i="12"/>
  <c r="EB3" i="12"/>
  <c r="EC3" i="12"/>
  <c r="ED3" i="12"/>
  <c r="EE3" i="12"/>
  <c r="EF3" i="12"/>
  <c r="EG3" i="12"/>
  <c r="EH3" i="12"/>
  <c r="EI3" i="12"/>
  <c r="EJ3" i="12"/>
  <c r="EK3" i="12"/>
  <c r="EL3" i="12"/>
  <c r="EM3" i="12"/>
  <c r="EN3" i="12"/>
  <c r="EO3" i="12"/>
  <c r="EP3" i="12"/>
  <c r="EQ3" i="12"/>
  <c r="ER3" i="12"/>
  <c r="ES3" i="12"/>
  <c r="ET3" i="12"/>
  <c r="EU3" i="12"/>
  <c r="EV3" i="12"/>
  <c r="EW3" i="12"/>
  <c r="EX3" i="12"/>
  <c r="EY3" i="12"/>
  <c r="EZ3" i="12"/>
  <c r="FA3" i="12"/>
  <c r="FB3" i="12"/>
  <c r="FC3" i="12"/>
  <c r="FD3" i="12"/>
  <c r="FE3" i="12"/>
  <c r="FF3" i="12"/>
  <c r="FG3" i="12"/>
  <c r="FH3" i="12"/>
  <c r="FI3" i="12"/>
  <c r="FJ3" i="12"/>
  <c r="FK3" i="12"/>
  <c r="FL3" i="12"/>
  <c r="FM3" i="12"/>
  <c r="FN3" i="12"/>
  <c r="FO3" i="12"/>
  <c r="FP3" i="12"/>
  <c r="FQ3" i="12"/>
  <c r="FR3" i="12"/>
  <c r="FS3" i="12"/>
  <c r="FT3" i="12"/>
  <c r="FU3" i="12"/>
  <c r="FV3" i="12"/>
  <c r="FW3" i="12"/>
  <c r="FX3" i="12"/>
  <c r="FY3" i="12"/>
  <c r="FZ3" i="12"/>
  <c r="GA3" i="12"/>
  <c r="GB3" i="12"/>
  <c r="GC3" i="12"/>
  <c r="GD3" i="12"/>
  <c r="GE3" i="12"/>
  <c r="GF3" i="12"/>
  <c r="GG3" i="12"/>
  <c r="GH3" i="12"/>
  <c r="GI3" i="12"/>
  <c r="GJ3" i="12"/>
  <c r="GK3" i="12"/>
  <c r="GL3" i="12"/>
  <c r="GM3" i="12"/>
  <c r="GN3" i="12"/>
  <c r="GO3" i="12"/>
  <c r="GP3" i="12"/>
  <c r="GQ3" i="12"/>
  <c r="GR3" i="12"/>
  <c r="GS3" i="12"/>
  <c r="GT3" i="12"/>
  <c r="GU3" i="12"/>
  <c r="GV3" i="12"/>
  <c r="GW3" i="12"/>
  <c r="GX3" i="12"/>
  <c r="GY3" i="12"/>
  <c r="GZ3" i="12"/>
  <c r="HA3" i="12"/>
  <c r="HB3" i="12"/>
  <c r="HC3" i="12"/>
  <c r="HD3" i="12"/>
  <c r="HE3" i="12"/>
  <c r="HF3" i="12"/>
  <c r="HG3" i="12"/>
  <c r="HH3" i="12"/>
  <c r="HI3" i="12"/>
  <c r="HJ3" i="12"/>
  <c r="HK3" i="12"/>
  <c r="HL3" i="12"/>
  <c r="HM3" i="12"/>
  <c r="HN3" i="12"/>
  <c r="HO3" i="12"/>
  <c r="HP3" i="12"/>
  <c r="HQ3" i="12"/>
  <c r="HR3" i="12"/>
  <c r="HS3" i="12"/>
  <c r="HT3" i="12"/>
  <c r="HU3" i="12"/>
  <c r="HV3" i="12"/>
  <c r="HW3" i="12"/>
  <c r="HX3" i="12"/>
  <c r="HY3" i="12"/>
  <c r="HZ3" i="12"/>
  <c r="IA3" i="12"/>
  <c r="IB3" i="12"/>
  <c r="IC3" i="12"/>
  <c r="ID3" i="12"/>
  <c r="IE3" i="12"/>
  <c r="IF3" i="12"/>
  <c r="IG3" i="12"/>
  <c r="IH3" i="12"/>
  <c r="II3" i="12"/>
  <c r="IJ3" i="12"/>
  <c r="IK3" i="12"/>
  <c r="IL3" i="12"/>
  <c r="IM3" i="12"/>
  <c r="IN3" i="12"/>
  <c r="IO3" i="12"/>
  <c r="IP3" i="12"/>
  <c r="IQ3" i="12"/>
  <c r="IR3" i="12"/>
  <c r="IS3" i="12"/>
  <c r="IT3" i="12"/>
  <c r="IU3" i="12"/>
  <c r="IV3" i="12"/>
  <c r="A4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BS4" i="12"/>
  <c r="BT4" i="12"/>
  <c r="BU4" i="12"/>
  <c r="BV4" i="12"/>
  <c r="BW4" i="12"/>
  <c r="BX4" i="12"/>
  <c r="BY4" i="12"/>
  <c r="BZ4" i="12"/>
  <c r="CA4" i="12"/>
  <c r="CB4" i="12"/>
  <c r="CC4" i="12"/>
  <c r="CD4" i="12"/>
  <c r="CE4" i="12"/>
  <c r="CF4" i="12"/>
  <c r="CG4" i="12"/>
  <c r="CH4" i="12"/>
  <c r="CI4" i="12"/>
  <c r="CJ4" i="12"/>
  <c r="CK4" i="12"/>
  <c r="CL4" i="12"/>
  <c r="CM4" i="12"/>
  <c r="CN4" i="12"/>
  <c r="CO4" i="12"/>
  <c r="CP4" i="12"/>
  <c r="CQ4" i="12"/>
  <c r="CR4" i="12"/>
  <c r="CS4" i="12"/>
  <c r="CT4" i="12"/>
  <c r="CU4" i="12"/>
  <c r="CV4" i="12"/>
  <c r="CW4" i="12"/>
  <c r="CX4" i="12"/>
  <c r="CY4" i="12"/>
  <c r="CZ4" i="12"/>
  <c r="DA4" i="12"/>
  <c r="DB4" i="12"/>
  <c r="DC4" i="12"/>
  <c r="DD4" i="12"/>
  <c r="DE4" i="12"/>
  <c r="DF4" i="12"/>
  <c r="DG4" i="12"/>
  <c r="DH4" i="12"/>
  <c r="DI4" i="12"/>
  <c r="DJ4" i="12"/>
  <c r="DK4" i="12"/>
  <c r="DL4" i="12"/>
  <c r="DM4" i="12"/>
  <c r="DN4" i="12"/>
  <c r="DO4" i="12"/>
  <c r="DP4" i="12"/>
  <c r="DQ4" i="12"/>
  <c r="DR4" i="12"/>
  <c r="DS4" i="12"/>
  <c r="DT4" i="12"/>
  <c r="DU4" i="12"/>
  <c r="DV4" i="12"/>
  <c r="DW4" i="12"/>
  <c r="DX4" i="12"/>
  <c r="DY4" i="12"/>
  <c r="DZ4" i="12"/>
  <c r="EA4" i="12"/>
  <c r="EB4" i="12"/>
  <c r="EC4" i="12"/>
  <c r="ED4" i="12"/>
  <c r="EE4" i="12"/>
  <c r="EF4" i="12"/>
  <c r="EG4" i="12"/>
  <c r="EH4" i="12"/>
  <c r="EI4" i="12"/>
  <c r="EJ4" i="12"/>
  <c r="EK4" i="12"/>
  <c r="EL4" i="12"/>
  <c r="EM4" i="12"/>
  <c r="EN4" i="12"/>
  <c r="EO4" i="12"/>
  <c r="EP4" i="12"/>
  <c r="EQ4" i="12"/>
  <c r="ER4" i="12"/>
  <c r="ES4" i="12"/>
  <c r="ET4" i="12"/>
  <c r="EU4" i="12"/>
  <c r="EV4" i="12"/>
  <c r="EW4" i="12"/>
  <c r="EX4" i="12"/>
  <c r="EY4" i="12"/>
  <c r="EZ4" i="12"/>
  <c r="FA4" i="12"/>
  <c r="FB4" i="12"/>
  <c r="FC4" i="12"/>
  <c r="FD4" i="12"/>
  <c r="FE4" i="12"/>
  <c r="FF4" i="12"/>
  <c r="FG4" i="12"/>
  <c r="FH4" i="12"/>
  <c r="FI4" i="12"/>
  <c r="FJ4" i="12"/>
  <c r="FK4" i="12"/>
  <c r="FL4" i="12"/>
  <c r="FM4" i="12"/>
  <c r="FN4" i="12"/>
  <c r="FO4" i="12"/>
  <c r="FP4" i="12"/>
  <c r="FQ4" i="12"/>
  <c r="FR4" i="12"/>
  <c r="FS4" i="12"/>
  <c r="FT4" i="12"/>
  <c r="FU4" i="12"/>
  <c r="FV4" i="12"/>
  <c r="FW4" i="12"/>
  <c r="FX4" i="12"/>
  <c r="FY4" i="12"/>
  <c r="FZ4" i="12"/>
  <c r="GA4" i="12"/>
  <c r="GB4" i="12"/>
  <c r="GC4" i="12"/>
  <c r="GD4" i="12"/>
  <c r="GE4" i="12"/>
  <c r="GF4" i="12"/>
  <c r="GG4" i="12"/>
  <c r="GH4" i="12"/>
  <c r="GI4" i="12"/>
  <c r="GJ4" i="12"/>
  <c r="GK4" i="12"/>
  <c r="GL4" i="12"/>
  <c r="GM4" i="12"/>
  <c r="GN4" i="12"/>
  <c r="GO4" i="12"/>
  <c r="GP4" i="12"/>
  <c r="GQ4" i="12"/>
  <c r="GR4" i="12"/>
  <c r="GS4" i="12"/>
  <c r="GT4" i="12"/>
  <c r="GU4" i="12"/>
  <c r="GV4" i="12"/>
  <c r="GW4" i="12"/>
  <c r="GX4" i="12"/>
  <c r="GY4" i="12"/>
  <c r="GZ4" i="12"/>
  <c r="HA4" i="12"/>
  <c r="HB4" i="12"/>
  <c r="HC4" i="12"/>
  <c r="HD4" i="12"/>
  <c r="HE4" i="12"/>
  <c r="HF4" i="12"/>
  <c r="HG4" i="12"/>
  <c r="HH4" i="12"/>
  <c r="HI4" i="12"/>
  <c r="HJ4" i="12"/>
  <c r="HK4" i="12"/>
  <c r="HL4" i="12"/>
  <c r="HM4" i="12"/>
  <c r="HN4" i="12"/>
  <c r="HO4" i="12"/>
  <c r="HP4" i="12"/>
  <c r="HQ4" i="12"/>
  <c r="HR4" i="12"/>
  <c r="HS4" i="12"/>
  <c r="HT4" i="12"/>
  <c r="HU4" i="12"/>
  <c r="HV4" i="12"/>
  <c r="HW4" i="12"/>
  <c r="HX4" i="12"/>
  <c r="HY4" i="12"/>
  <c r="HZ4" i="12"/>
  <c r="IA4" i="12"/>
  <c r="IB4" i="12"/>
  <c r="IC4" i="12"/>
  <c r="ID4" i="12"/>
  <c r="IE4" i="12"/>
  <c r="IF4" i="12"/>
  <c r="IG4" i="12"/>
  <c r="IH4" i="12"/>
  <c r="II4" i="12"/>
  <c r="IJ4" i="12"/>
  <c r="IK4" i="12"/>
  <c r="IL4" i="12"/>
  <c r="IM4" i="12"/>
  <c r="IN4" i="12"/>
  <c r="IO4" i="12"/>
  <c r="IP4" i="12"/>
  <c r="IQ4" i="12"/>
  <c r="IR4" i="12"/>
  <c r="IS4" i="12"/>
  <c r="IT4" i="12"/>
  <c r="IU4" i="12"/>
  <c r="IV4" i="12"/>
  <c r="A5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BR5" i="12"/>
  <c r="BS5" i="12"/>
  <c r="BT5" i="12"/>
  <c r="BU5" i="12"/>
  <c r="BV5" i="12"/>
  <c r="BW5" i="12"/>
  <c r="BX5" i="12"/>
  <c r="BY5" i="12"/>
  <c r="BZ5" i="12"/>
  <c r="CA5" i="12"/>
  <c r="CB5" i="12"/>
  <c r="CC5" i="12"/>
  <c r="CD5" i="12"/>
  <c r="CE5" i="12"/>
  <c r="CF5" i="12"/>
  <c r="CG5" i="12"/>
  <c r="CH5" i="12"/>
  <c r="CI5" i="12"/>
  <c r="CJ5" i="12"/>
  <c r="CK5" i="12"/>
  <c r="CL5" i="12"/>
  <c r="CM5" i="12"/>
  <c r="CN5" i="12"/>
  <c r="CO5" i="12"/>
  <c r="CP5" i="12"/>
  <c r="CQ5" i="12"/>
  <c r="CR5" i="12"/>
  <c r="CS5" i="12"/>
  <c r="CT5" i="12"/>
  <c r="CU5" i="12"/>
  <c r="CV5" i="12"/>
  <c r="CW5" i="12"/>
  <c r="CX5" i="12"/>
  <c r="CY5" i="12"/>
  <c r="CZ5" i="12"/>
  <c r="DA5" i="12"/>
  <c r="DB5" i="12"/>
  <c r="DC5" i="12"/>
  <c r="DD5" i="12"/>
  <c r="DE5" i="12"/>
  <c r="DF5" i="12"/>
  <c r="DG5" i="12"/>
  <c r="DH5" i="12"/>
  <c r="DI5" i="12"/>
  <c r="DJ5" i="12"/>
  <c r="DK5" i="12"/>
  <c r="DL5" i="12"/>
  <c r="DM5" i="12"/>
  <c r="DN5" i="12"/>
  <c r="DO5" i="12"/>
  <c r="DP5" i="12"/>
  <c r="DQ5" i="12"/>
  <c r="DR5" i="12"/>
  <c r="DS5" i="12"/>
  <c r="DT5" i="12"/>
  <c r="DU5" i="12"/>
  <c r="DV5" i="12"/>
  <c r="DW5" i="12"/>
  <c r="DX5" i="12"/>
  <c r="DY5" i="12"/>
  <c r="DZ5" i="12"/>
  <c r="EA5" i="12"/>
  <c r="EB5" i="12"/>
  <c r="EC5" i="12"/>
  <c r="ED5" i="12"/>
  <c r="EE5" i="12"/>
  <c r="EF5" i="12"/>
  <c r="EG5" i="12"/>
  <c r="EH5" i="12"/>
  <c r="EI5" i="12"/>
  <c r="EJ5" i="12"/>
  <c r="EK5" i="12"/>
  <c r="EL5" i="12"/>
  <c r="EM5" i="12"/>
  <c r="EN5" i="12"/>
  <c r="EO5" i="12"/>
  <c r="EP5" i="12"/>
  <c r="EQ5" i="12"/>
  <c r="ER5" i="12"/>
  <c r="ES5" i="12"/>
  <c r="ET5" i="12"/>
  <c r="EU5" i="12"/>
  <c r="EV5" i="12"/>
  <c r="EW5" i="12"/>
  <c r="EX5" i="12"/>
  <c r="EY5" i="12"/>
  <c r="EZ5" i="12"/>
  <c r="FA5" i="12"/>
  <c r="FB5" i="12"/>
  <c r="FC5" i="12"/>
  <c r="FD5" i="12"/>
  <c r="FE5" i="12"/>
  <c r="FF5" i="12"/>
  <c r="FG5" i="12"/>
  <c r="FH5" i="12"/>
  <c r="FI5" i="12"/>
  <c r="FJ5" i="12"/>
  <c r="FK5" i="12"/>
  <c r="FL5" i="12"/>
  <c r="FM5" i="12"/>
  <c r="FN5" i="12"/>
  <c r="FO5" i="12"/>
  <c r="FP5" i="12"/>
  <c r="FQ5" i="12"/>
  <c r="FR5" i="12"/>
  <c r="FS5" i="12"/>
  <c r="FT5" i="12"/>
  <c r="FU5" i="12"/>
  <c r="FV5" i="12"/>
  <c r="FW5" i="12"/>
  <c r="FX5" i="12"/>
  <c r="FY5" i="12"/>
  <c r="FZ5" i="12"/>
  <c r="GA5" i="12"/>
  <c r="GB5" i="12"/>
  <c r="GC5" i="12"/>
  <c r="GD5" i="12"/>
  <c r="GE5" i="12"/>
  <c r="GF5" i="12"/>
  <c r="GG5" i="12"/>
  <c r="GH5" i="12"/>
  <c r="GI5" i="12"/>
  <c r="GJ5" i="12"/>
  <c r="GK5" i="12"/>
  <c r="GL5" i="12"/>
  <c r="GM5" i="12"/>
  <c r="GN5" i="12"/>
  <c r="GO5" i="12"/>
  <c r="GP5" i="12"/>
  <c r="GQ5" i="12"/>
  <c r="GR5" i="12"/>
  <c r="GS5" i="12"/>
  <c r="GT5" i="12"/>
  <c r="GU5" i="12"/>
  <c r="GV5" i="12"/>
  <c r="GW5" i="12"/>
  <c r="GX5" i="12"/>
  <c r="GY5" i="12"/>
  <c r="GZ5" i="12"/>
  <c r="HA5" i="12"/>
  <c r="HB5" i="12"/>
  <c r="HC5" i="12"/>
  <c r="HD5" i="12"/>
  <c r="HE5" i="12"/>
  <c r="HF5" i="12"/>
  <c r="HG5" i="12"/>
  <c r="HH5" i="12"/>
  <c r="HI5" i="12"/>
  <c r="HJ5" i="12"/>
  <c r="HK5" i="12"/>
  <c r="HL5" i="12"/>
  <c r="HM5" i="12"/>
  <c r="HN5" i="12"/>
  <c r="HO5" i="12"/>
  <c r="HP5" i="12"/>
  <c r="HQ5" i="12"/>
  <c r="HR5" i="12"/>
  <c r="HS5" i="12"/>
  <c r="HT5" i="12"/>
  <c r="HU5" i="12"/>
  <c r="HV5" i="12"/>
  <c r="HW5" i="12"/>
  <c r="HX5" i="12"/>
  <c r="HY5" i="12"/>
  <c r="HZ5" i="12"/>
  <c r="IA5" i="12"/>
  <c r="IB5" i="12"/>
  <c r="IC5" i="12"/>
  <c r="ID5" i="12"/>
  <c r="IE5" i="12"/>
  <c r="IF5" i="12"/>
  <c r="IG5" i="12"/>
  <c r="IH5" i="12"/>
  <c r="II5" i="12"/>
  <c r="IJ5" i="12"/>
  <c r="IK5" i="12"/>
  <c r="IL5" i="12"/>
  <c r="IM5" i="12"/>
  <c r="IN5" i="12"/>
  <c r="IO5" i="12"/>
  <c r="IP5" i="12"/>
  <c r="IQ5" i="12"/>
  <c r="IR5" i="12"/>
  <c r="IS5" i="12"/>
  <c r="IT5" i="12"/>
  <c r="IU5" i="12"/>
  <c r="IV5" i="12"/>
  <c r="A6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Q6" i="12"/>
  <c r="BR6" i="12"/>
  <c r="BS6" i="12"/>
  <c r="BT6" i="12"/>
  <c r="BU6" i="12"/>
  <c r="BV6" i="12"/>
  <c r="BW6" i="12"/>
  <c r="BX6" i="12"/>
  <c r="BY6" i="12"/>
  <c r="BZ6" i="12"/>
  <c r="CA6" i="12"/>
  <c r="CB6" i="12"/>
  <c r="CC6" i="12"/>
  <c r="CD6" i="12"/>
  <c r="CE6" i="12"/>
  <c r="CF6" i="12"/>
  <c r="CG6" i="12"/>
  <c r="CH6" i="12"/>
  <c r="CI6" i="12"/>
  <c r="CJ6" i="12"/>
  <c r="CK6" i="12"/>
  <c r="CL6" i="12"/>
  <c r="CM6" i="12"/>
  <c r="CN6" i="12"/>
  <c r="CO6" i="12"/>
  <c r="CP6" i="12"/>
  <c r="CQ6" i="12"/>
  <c r="CR6" i="12"/>
  <c r="CS6" i="12"/>
  <c r="CT6" i="12"/>
  <c r="CU6" i="12"/>
  <c r="CV6" i="12"/>
  <c r="CW6" i="12"/>
  <c r="CX6" i="12"/>
  <c r="CY6" i="12"/>
  <c r="CZ6" i="12"/>
  <c r="DA6" i="12"/>
  <c r="DB6" i="12"/>
  <c r="DC6" i="12"/>
  <c r="DD6" i="12"/>
  <c r="DE6" i="12"/>
  <c r="DF6" i="12"/>
  <c r="DG6" i="12"/>
  <c r="DH6" i="12"/>
  <c r="DI6" i="12"/>
  <c r="DJ6" i="12"/>
  <c r="DK6" i="12"/>
  <c r="DL6" i="12"/>
  <c r="DM6" i="12"/>
  <c r="DN6" i="12"/>
  <c r="DO6" i="12"/>
  <c r="DP6" i="12"/>
  <c r="DQ6" i="12"/>
  <c r="DR6" i="12"/>
  <c r="DS6" i="12"/>
  <c r="DT6" i="12"/>
  <c r="DU6" i="12"/>
  <c r="DV6" i="12"/>
  <c r="DW6" i="12"/>
  <c r="DX6" i="12"/>
  <c r="DY6" i="12"/>
  <c r="DZ6" i="12"/>
  <c r="EA6" i="12"/>
  <c r="EB6" i="12"/>
  <c r="EC6" i="12"/>
  <c r="ED6" i="12"/>
  <c r="EE6" i="12"/>
  <c r="EF6" i="12"/>
  <c r="EG6" i="12"/>
  <c r="EH6" i="12"/>
  <c r="EI6" i="12"/>
  <c r="EJ6" i="12"/>
  <c r="EK6" i="12"/>
  <c r="EL6" i="12"/>
  <c r="EM6" i="12"/>
  <c r="EN6" i="12"/>
  <c r="EO6" i="12"/>
  <c r="EP6" i="12"/>
  <c r="EQ6" i="12"/>
  <c r="ER6" i="12"/>
  <c r="ES6" i="12"/>
  <c r="ET6" i="12"/>
  <c r="EU6" i="12"/>
  <c r="EV6" i="12"/>
  <c r="EW6" i="12"/>
  <c r="EX6" i="12"/>
  <c r="EY6" i="12"/>
  <c r="EZ6" i="12"/>
  <c r="FA6" i="12"/>
  <c r="FB6" i="12"/>
  <c r="FC6" i="12"/>
  <c r="FD6" i="12"/>
  <c r="FE6" i="12"/>
  <c r="FF6" i="12"/>
  <c r="FG6" i="12"/>
  <c r="FH6" i="12"/>
  <c r="FI6" i="12"/>
  <c r="FJ6" i="12"/>
  <c r="FK6" i="12"/>
  <c r="FL6" i="12"/>
  <c r="FM6" i="12"/>
  <c r="FN6" i="12"/>
  <c r="FO6" i="12"/>
  <c r="FP6" i="12"/>
  <c r="FQ6" i="12"/>
  <c r="FR6" i="12"/>
  <c r="FS6" i="12"/>
  <c r="FT6" i="12"/>
  <c r="FU6" i="12"/>
  <c r="FV6" i="12"/>
  <c r="FW6" i="12"/>
  <c r="FX6" i="12"/>
  <c r="FY6" i="12"/>
  <c r="FZ6" i="12"/>
  <c r="GA6" i="12"/>
  <c r="GB6" i="12"/>
  <c r="GC6" i="12"/>
  <c r="GD6" i="12"/>
  <c r="GE6" i="12"/>
  <c r="GF6" i="12"/>
  <c r="GG6" i="12"/>
  <c r="GH6" i="12"/>
  <c r="GI6" i="12"/>
  <c r="GJ6" i="12"/>
  <c r="GK6" i="12"/>
  <c r="GL6" i="12"/>
  <c r="GM6" i="12"/>
  <c r="GN6" i="12"/>
  <c r="GO6" i="12"/>
  <c r="GP6" i="12"/>
  <c r="GQ6" i="12"/>
  <c r="GR6" i="12"/>
  <c r="GS6" i="12"/>
  <c r="GT6" i="12"/>
  <c r="GU6" i="12"/>
  <c r="GV6" i="12"/>
  <c r="GW6" i="12"/>
  <c r="GX6" i="12"/>
  <c r="GY6" i="12"/>
  <c r="GZ6" i="12"/>
  <c r="HA6" i="12"/>
  <c r="HB6" i="12"/>
  <c r="HC6" i="12"/>
  <c r="HD6" i="12"/>
  <c r="HG6" i="12"/>
  <c r="HJ6" i="12"/>
  <c r="HM6" i="12"/>
  <c r="HP6" i="12"/>
  <c r="HS6" i="12"/>
  <c r="HW6" i="12"/>
  <c r="HX6" i="12"/>
  <c r="HY6" i="12"/>
  <c r="HZ6" i="12"/>
  <c r="IA6" i="12"/>
  <c r="IB6" i="12"/>
  <c r="IC6" i="12"/>
  <c r="ID6" i="12"/>
  <c r="IE6" i="12"/>
  <c r="IF6" i="12"/>
  <c r="IG6" i="12"/>
  <c r="IH6" i="12"/>
  <c r="II6" i="12"/>
  <c r="IJ6" i="12"/>
  <c r="IK6" i="12"/>
  <c r="IL6" i="12"/>
  <c r="IM6" i="12"/>
  <c r="IN6" i="12"/>
  <c r="IO6" i="12"/>
  <c r="IP6" i="12"/>
  <c r="IQ6" i="12"/>
  <c r="IR6" i="12"/>
  <c r="IS6" i="12"/>
  <c r="IT6" i="12"/>
  <c r="IU6" i="12"/>
  <c r="IV6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P7" i="12"/>
  <c r="BQ7" i="12"/>
  <c r="BR7" i="12"/>
  <c r="BS7" i="12"/>
  <c r="BT7" i="12"/>
  <c r="BU7" i="12"/>
  <c r="BV7" i="12"/>
  <c r="BW7" i="12"/>
  <c r="BX7" i="12"/>
  <c r="BY7" i="12"/>
  <c r="BZ7" i="12"/>
  <c r="CA7" i="12"/>
  <c r="CB7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Q7" i="12"/>
  <c r="CR7" i="12"/>
  <c r="CS7" i="12"/>
  <c r="CT7" i="12"/>
  <c r="CU7" i="12"/>
  <c r="CV7" i="12"/>
  <c r="CW7" i="12"/>
  <c r="CX7" i="12"/>
  <c r="CY7" i="12"/>
  <c r="CZ7" i="12"/>
  <c r="DA7" i="12"/>
  <c r="DB7" i="12"/>
  <c r="DC7" i="12"/>
  <c r="DD7" i="12"/>
  <c r="DE7" i="12"/>
  <c r="DF7" i="12"/>
  <c r="DG7" i="12"/>
  <c r="DH7" i="12"/>
  <c r="DI7" i="12"/>
  <c r="DJ7" i="12"/>
  <c r="DK7" i="12"/>
  <c r="DL7" i="12"/>
  <c r="DM7" i="12"/>
  <c r="DN7" i="12"/>
  <c r="DO7" i="12"/>
  <c r="DP7" i="12"/>
  <c r="DQ7" i="12"/>
  <c r="DR7" i="12"/>
  <c r="DS7" i="12"/>
  <c r="DT7" i="12"/>
  <c r="DU7" i="12"/>
  <c r="DV7" i="12"/>
  <c r="DW7" i="12"/>
  <c r="DX7" i="12"/>
  <c r="DY7" i="12"/>
  <c r="DZ7" i="12"/>
  <c r="EA7" i="12"/>
  <c r="EB7" i="12"/>
  <c r="EC7" i="12"/>
  <c r="ED7" i="12"/>
  <c r="EE7" i="12"/>
  <c r="EF7" i="12"/>
  <c r="EG7" i="12"/>
  <c r="EH7" i="12"/>
  <c r="EI7" i="12"/>
  <c r="EJ7" i="12"/>
  <c r="EK7" i="12"/>
  <c r="EL7" i="12"/>
  <c r="EM7" i="12"/>
  <c r="EN7" i="12"/>
  <c r="EO7" i="12"/>
  <c r="EP7" i="12"/>
  <c r="EQ7" i="12"/>
  <c r="ER7" i="12"/>
  <c r="ES7" i="12"/>
  <c r="ET7" i="12"/>
  <c r="EU7" i="12"/>
  <c r="EV7" i="12"/>
  <c r="EW7" i="12"/>
  <c r="EX7" i="12"/>
  <c r="EY7" i="12"/>
  <c r="EZ7" i="12"/>
  <c r="FA7" i="12"/>
  <c r="FB7" i="12"/>
  <c r="FC7" i="12"/>
  <c r="FD7" i="12"/>
  <c r="FE7" i="12"/>
  <c r="FF7" i="12"/>
  <c r="FG7" i="12"/>
  <c r="FH7" i="12"/>
  <c r="FI7" i="12"/>
  <c r="FJ7" i="12"/>
  <c r="FK7" i="12"/>
  <c r="FN7" i="12"/>
  <c r="FO7" i="12"/>
  <c r="FP7" i="12"/>
  <c r="FQ7" i="12"/>
  <c r="FR7" i="12"/>
  <c r="FS7" i="12"/>
  <c r="FT7" i="12"/>
  <c r="FU7" i="12"/>
  <c r="FV7" i="12"/>
  <c r="FW7" i="12"/>
  <c r="FX7" i="12"/>
  <c r="FY7" i="12"/>
  <c r="FZ7" i="12"/>
  <c r="GA7" i="12"/>
  <c r="GB7" i="12"/>
  <c r="GC7" i="12"/>
  <c r="GD7" i="12"/>
  <c r="GE7" i="12"/>
  <c r="GF7" i="12"/>
  <c r="GG7" i="12"/>
  <c r="GH7" i="12"/>
  <c r="GI7" i="12"/>
  <c r="GJ7" i="12"/>
  <c r="GK7" i="12"/>
  <c r="GL7" i="12"/>
  <c r="GM7" i="12"/>
  <c r="GN7" i="12"/>
  <c r="GO7" i="12"/>
  <c r="GP7" i="12"/>
  <c r="GQ7" i="12"/>
  <c r="GR7" i="12"/>
  <c r="GS7" i="12"/>
  <c r="GT7" i="12"/>
  <c r="GU7" i="12"/>
  <c r="GV7" i="12"/>
  <c r="GW7" i="12"/>
  <c r="GX7" i="12"/>
  <c r="GY7" i="12"/>
  <c r="GZ7" i="12"/>
  <c r="HA7" i="12"/>
  <c r="HB7" i="12"/>
  <c r="HC7" i="12"/>
  <c r="HD7" i="12"/>
  <c r="HE7" i="12"/>
  <c r="HF7" i="12"/>
  <c r="HG7" i="12"/>
  <c r="HH7" i="12"/>
  <c r="HI7" i="12"/>
  <c r="HJ7" i="12"/>
  <c r="HK7" i="12"/>
  <c r="HL7" i="12"/>
  <c r="HM7" i="12"/>
  <c r="HN7" i="12"/>
  <c r="HO7" i="12"/>
  <c r="HP7" i="12"/>
  <c r="HQ7" i="12"/>
  <c r="HR7" i="12"/>
  <c r="HS7" i="12"/>
  <c r="HT7" i="12"/>
  <c r="HU7" i="12"/>
  <c r="HV7" i="12"/>
  <c r="HW7" i="12"/>
  <c r="HX7" i="12"/>
  <c r="HY7" i="12"/>
  <c r="HZ7" i="12"/>
  <c r="IA7" i="12"/>
  <c r="IB7" i="12"/>
  <c r="IC7" i="12"/>
  <c r="ID7" i="12"/>
  <c r="IE7" i="12"/>
  <c r="IF7" i="12"/>
  <c r="IG7" i="12"/>
  <c r="IH7" i="12"/>
  <c r="II7" i="12"/>
  <c r="IJ7" i="12"/>
  <c r="IK7" i="12"/>
  <c r="IL7" i="12"/>
  <c r="IM7" i="12"/>
  <c r="IN7" i="12"/>
  <c r="IO7" i="12"/>
  <c r="IP7" i="12"/>
  <c r="IQ7" i="12"/>
  <c r="IR7" i="12"/>
  <c r="IS7" i="12"/>
  <c r="IT7" i="12"/>
  <c r="IU7" i="12"/>
  <c r="IV7" i="12"/>
  <c r="A8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BO8" i="12"/>
  <c r="BP8" i="12"/>
  <c r="BQ8" i="12"/>
  <c r="BR8" i="12"/>
  <c r="BS8" i="12"/>
  <c r="BT8" i="12"/>
  <c r="BU8" i="12"/>
  <c r="BV8" i="12"/>
  <c r="BW8" i="12"/>
  <c r="BX8" i="12"/>
  <c r="BY8" i="12"/>
  <c r="BZ8" i="12"/>
  <c r="CA8" i="12"/>
  <c r="CB8" i="12"/>
  <c r="CC8" i="12"/>
  <c r="CD8" i="12"/>
  <c r="CE8" i="12"/>
  <c r="CF8" i="12"/>
  <c r="CG8" i="12"/>
  <c r="CH8" i="12"/>
  <c r="CI8" i="12"/>
  <c r="CJ8" i="12"/>
  <c r="CK8" i="12"/>
  <c r="CL8" i="12"/>
  <c r="CM8" i="12"/>
  <c r="CN8" i="12"/>
  <c r="CO8" i="12"/>
  <c r="CP8" i="12"/>
  <c r="CQ8" i="12"/>
  <c r="CR8" i="12"/>
  <c r="CS8" i="12"/>
  <c r="CT8" i="12"/>
  <c r="CU8" i="12"/>
  <c r="CV8" i="12"/>
  <c r="CW8" i="12"/>
  <c r="CX8" i="12"/>
  <c r="CY8" i="12"/>
  <c r="CZ8" i="12"/>
  <c r="DA8" i="12"/>
  <c r="DB8" i="12"/>
  <c r="DC8" i="12"/>
  <c r="DD8" i="12"/>
  <c r="DE8" i="12"/>
  <c r="DF8" i="12"/>
  <c r="DG8" i="12"/>
  <c r="DH8" i="12"/>
  <c r="DI8" i="12"/>
  <c r="DJ8" i="12"/>
  <c r="DK8" i="12"/>
  <c r="DL8" i="12"/>
  <c r="DM8" i="12"/>
  <c r="DN8" i="12"/>
  <c r="DO8" i="12"/>
  <c r="DP8" i="12"/>
  <c r="DQ8" i="12"/>
  <c r="DR8" i="12"/>
  <c r="DS8" i="12"/>
  <c r="DT8" i="12"/>
  <c r="DU8" i="12"/>
  <c r="DV8" i="12"/>
  <c r="DW8" i="12"/>
  <c r="DX8" i="12"/>
  <c r="DY8" i="12"/>
  <c r="DZ8" i="12"/>
  <c r="EA8" i="12"/>
  <c r="EB8" i="12"/>
  <c r="EC8" i="12"/>
  <c r="ED8" i="12"/>
  <c r="EE8" i="12"/>
  <c r="EF8" i="12"/>
  <c r="EG8" i="12"/>
  <c r="EH8" i="12"/>
  <c r="EI8" i="12"/>
  <c r="EJ8" i="12"/>
  <c r="EK8" i="12"/>
  <c r="EL8" i="12"/>
  <c r="EM8" i="12"/>
  <c r="EN8" i="12"/>
  <c r="EO8" i="12"/>
  <c r="EP8" i="12"/>
  <c r="EQ8" i="12"/>
  <c r="ER8" i="12"/>
  <c r="ES8" i="12"/>
  <c r="ET8" i="12"/>
  <c r="EU8" i="12"/>
  <c r="EV8" i="12"/>
  <c r="EW8" i="12"/>
  <c r="EX8" i="12"/>
  <c r="EY8" i="12"/>
  <c r="EZ8" i="12"/>
  <c r="FA8" i="12"/>
  <c r="FB8" i="12"/>
  <c r="FC8" i="12"/>
  <c r="FD8" i="12"/>
  <c r="FE8" i="12"/>
  <c r="FF8" i="12"/>
  <c r="FG8" i="12"/>
  <c r="FH8" i="12"/>
  <c r="FI8" i="12"/>
  <c r="FJ8" i="12"/>
  <c r="FK8" i="12"/>
  <c r="FL8" i="12"/>
  <c r="FM8" i="12"/>
  <c r="FN8" i="12"/>
  <c r="FO8" i="12"/>
  <c r="FP8" i="12"/>
  <c r="FQ8" i="12"/>
  <c r="FR8" i="12"/>
  <c r="FS8" i="12"/>
  <c r="FT8" i="12"/>
  <c r="FU8" i="12"/>
  <c r="FV8" i="12"/>
  <c r="FW8" i="12"/>
  <c r="FX8" i="12"/>
  <c r="FY8" i="12"/>
  <c r="FZ8" i="12"/>
  <c r="GA8" i="12"/>
  <c r="GB8" i="12"/>
  <c r="GC8" i="12"/>
  <c r="GD8" i="12"/>
  <c r="GE8" i="12"/>
  <c r="GF8" i="12"/>
  <c r="GG8" i="12"/>
  <c r="GH8" i="12"/>
  <c r="GI8" i="12"/>
  <c r="GJ8" i="12"/>
  <c r="GK8" i="12"/>
  <c r="GL8" i="12"/>
  <c r="GM8" i="12"/>
  <c r="GN8" i="12"/>
  <c r="GO8" i="12"/>
  <c r="GP8" i="12"/>
  <c r="GQ8" i="12"/>
  <c r="GR8" i="12"/>
  <c r="GS8" i="12"/>
  <c r="GT8" i="12"/>
  <c r="GU8" i="12"/>
  <c r="GV8" i="12"/>
  <c r="GW8" i="12"/>
  <c r="GX8" i="12"/>
  <c r="GY8" i="12"/>
  <c r="GZ8" i="12"/>
  <c r="HA8" i="12"/>
  <c r="HB8" i="12"/>
  <c r="HC8" i="12"/>
  <c r="HD8" i="12"/>
  <c r="HE8" i="12"/>
  <c r="HF8" i="12"/>
  <c r="HG8" i="12"/>
  <c r="HH8" i="12"/>
  <c r="HI8" i="12"/>
  <c r="HJ8" i="12"/>
  <c r="HK8" i="12"/>
  <c r="HL8" i="12"/>
  <c r="HM8" i="12"/>
  <c r="HN8" i="12"/>
  <c r="HO8" i="12"/>
  <c r="HP8" i="12"/>
  <c r="HQ8" i="12"/>
  <c r="HR8" i="12"/>
  <c r="HS8" i="12"/>
  <c r="HT8" i="12"/>
  <c r="HU8" i="12"/>
  <c r="HV8" i="12"/>
  <c r="HW8" i="12"/>
  <c r="HX8" i="12"/>
  <c r="HY8" i="12"/>
  <c r="HZ8" i="12"/>
  <c r="IA8" i="12"/>
  <c r="IB8" i="12"/>
  <c r="IC8" i="12"/>
  <c r="ID8" i="12"/>
  <c r="IE8" i="12"/>
  <c r="IF8" i="12"/>
  <c r="IG8" i="12"/>
  <c r="IH8" i="12"/>
  <c r="II8" i="12"/>
  <c r="IJ8" i="12"/>
  <c r="IK8" i="12"/>
  <c r="IL8" i="12"/>
  <c r="IM8" i="12"/>
  <c r="IN8" i="12"/>
  <c r="IO8" i="12"/>
  <c r="IP8" i="12"/>
  <c r="IQ8" i="12"/>
  <c r="IR8" i="12"/>
  <c r="IS8" i="12"/>
  <c r="IT8" i="12"/>
  <c r="IU8" i="12"/>
  <c r="IV8" i="12"/>
  <c r="A9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BF9" i="12"/>
  <c r="BG9" i="12"/>
  <c r="BH9" i="12"/>
  <c r="BI9" i="12"/>
  <c r="BJ9" i="12"/>
  <c r="BK9" i="12"/>
  <c r="BL9" i="12"/>
  <c r="BM9" i="12"/>
  <c r="BN9" i="12"/>
  <c r="BO9" i="12"/>
  <c r="BP9" i="12"/>
  <c r="BQ9" i="12"/>
  <c r="BR9" i="12"/>
  <c r="BS9" i="12"/>
  <c r="BT9" i="12"/>
  <c r="BU9" i="12"/>
  <c r="BV9" i="12"/>
  <c r="BW9" i="12"/>
  <c r="BX9" i="12"/>
  <c r="BY9" i="12"/>
  <c r="BZ9" i="12"/>
  <c r="CA9" i="12"/>
  <c r="CB9" i="12"/>
  <c r="CC9" i="12"/>
  <c r="CD9" i="12"/>
  <c r="CE9" i="12"/>
  <c r="CF9" i="12"/>
  <c r="CG9" i="12"/>
  <c r="CH9" i="12"/>
  <c r="CI9" i="12"/>
  <c r="CJ9" i="12"/>
  <c r="CK9" i="12"/>
  <c r="CL9" i="12"/>
  <c r="CM9" i="12"/>
  <c r="CN9" i="12"/>
  <c r="CO9" i="12"/>
  <c r="CP9" i="12"/>
  <c r="CQ9" i="12"/>
  <c r="CR9" i="12"/>
  <c r="CS9" i="12"/>
  <c r="CT9" i="12"/>
  <c r="CU9" i="12"/>
  <c r="CV9" i="12"/>
  <c r="CW9" i="12"/>
  <c r="CX9" i="12"/>
  <c r="CY9" i="12"/>
  <c r="DA9" i="12"/>
  <c r="DB9" i="12"/>
  <c r="DC9" i="12"/>
  <c r="DD9" i="12"/>
  <c r="DE9" i="12"/>
  <c r="DF9" i="12"/>
  <c r="DG9" i="12"/>
  <c r="DH9" i="12"/>
  <c r="DI9" i="12"/>
  <c r="DJ9" i="12"/>
  <c r="DK9" i="12"/>
  <c r="DL9" i="12"/>
  <c r="DM9" i="12"/>
  <c r="DN9" i="12"/>
  <c r="DO9" i="12"/>
  <c r="DP9" i="12"/>
  <c r="DQ9" i="12"/>
  <c r="DR9" i="12"/>
  <c r="DS9" i="12"/>
  <c r="DT9" i="12"/>
  <c r="DU9" i="12"/>
  <c r="DV9" i="12"/>
  <c r="DW9" i="12"/>
  <c r="DX9" i="12"/>
  <c r="DY9" i="12"/>
  <c r="DZ9" i="12"/>
  <c r="EA9" i="12"/>
  <c r="EB9" i="12"/>
  <c r="EC9" i="12"/>
  <c r="ED9" i="12"/>
  <c r="EE9" i="12"/>
  <c r="EF9" i="12"/>
  <c r="EG9" i="12"/>
  <c r="EH9" i="12"/>
  <c r="EI9" i="12"/>
  <c r="EJ9" i="12"/>
  <c r="EK9" i="12"/>
  <c r="EL9" i="12"/>
  <c r="EM9" i="12"/>
  <c r="EN9" i="12"/>
  <c r="EO9" i="12"/>
  <c r="EP9" i="12"/>
  <c r="EQ9" i="12"/>
  <c r="ER9" i="12"/>
  <c r="ES9" i="12"/>
  <c r="ET9" i="12"/>
  <c r="EU9" i="12"/>
  <c r="EV9" i="12"/>
  <c r="EW9" i="12"/>
  <c r="EX9" i="12"/>
  <c r="EY9" i="12"/>
  <c r="EZ9" i="12"/>
  <c r="FA9" i="12"/>
  <c r="FB9" i="12"/>
  <c r="FC9" i="12"/>
  <c r="FD9" i="12"/>
  <c r="FE9" i="12"/>
  <c r="FF9" i="12"/>
  <c r="FG9" i="12"/>
  <c r="FH9" i="12"/>
  <c r="FI9" i="12"/>
  <c r="FJ9" i="12"/>
  <c r="FK9" i="12"/>
  <c r="FL9" i="12"/>
  <c r="FM9" i="12"/>
  <c r="FN9" i="12"/>
  <c r="FO9" i="12"/>
  <c r="FP9" i="12"/>
  <c r="FQ9" i="12"/>
  <c r="FR9" i="12"/>
  <c r="FS9" i="12"/>
  <c r="FT9" i="12"/>
  <c r="FU9" i="12"/>
  <c r="FV9" i="12"/>
  <c r="FW9" i="12"/>
  <c r="FX9" i="12"/>
  <c r="FY9" i="12"/>
  <c r="FZ9" i="12"/>
  <c r="GA9" i="12"/>
  <c r="GB9" i="12"/>
  <c r="GC9" i="12"/>
  <c r="GD9" i="12"/>
  <c r="GE9" i="12"/>
  <c r="GF9" i="12"/>
  <c r="GG9" i="12"/>
  <c r="GH9" i="12"/>
  <c r="GI9" i="12"/>
  <c r="GJ9" i="12"/>
  <c r="GK9" i="12"/>
  <c r="GL9" i="12"/>
  <c r="GM9" i="12"/>
  <c r="GN9" i="12"/>
  <c r="GO9" i="12"/>
  <c r="GP9" i="12"/>
  <c r="GQ9" i="12"/>
  <c r="GR9" i="12"/>
  <c r="GS9" i="12"/>
  <c r="GT9" i="12"/>
  <c r="GU9" i="12"/>
  <c r="GV9" i="12"/>
  <c r="GW9" i="12"/>
  <c r="GX9" i="12"/>
  <c r="GY9" i="12"/>
  <c r="GZ9" i="12"/>
  <c r="HA9" i="12"/>
  <c r="HB9" i="12"/>
  <c r="HC9" i="12"/>
  <c r="HD9" i="12"/>
  <c r="HE9" i="12"/>
  <c r="HF9" i="12"/>
  <c r="HG9" i="12"/>
  <c r="HH9" i="12"/>
  <c r="HI9" i="12"/>
  <c r="HJ9" i="12"/>
  <c r="HK9" i="12"/>
  <c r="HL9" i="12"/>
  <c r="HM9" i="12"/>
  <c r="HN9" i="12"/>
  <c r="HO9" i="12"/>
  <c r="HP9" i="12"/>
  <c r="HQ9" i="12"/>
  <c r="HR9" i="12"/>
  <c r="HS9" i="12"/>
  <c r="HT9" i="12"/>
  <c r="HU9" i="12"/>
  <c r="HV9" i="12"/>
  <c r="HW9" i="12"/>
  <c r="HX9" i="12"/>
  <c r="HY9" i="12"/>
  <c r="HZ9" i="12"/>
  <c r="IA9" i="12"/>
  <c r="IB9" i="12"/>
  <c r="IC9" i="12"/>
  <c r="ID9" i="12"/>
  <c r="IE9" i="12"/>
  <c r="IF9" i="12"/>
  <c r="IG9" i="12"/>
  <c r="IH9" i="12"/>
  <c r="II9" i="12"/>
  <c r="IJ9" i="12"/>
  <c r="IK9" i="12"/>
  <c r="IL9" i="12"/>
  <c r="IM9" i="12"/>
  <c r="IN9" i="12"/>
  <c r="IO9" i="12"/>
  <c r="IP9" i="12"/>
  <c r="IQ9" i="12"/>
  <c r="IR9" i="12"/>
  <c r="IS9" i="12"/>
  <c r="IT9" i="12"/>
  <c r="IU9" i="12"/>
  <c r="IV9" i="12"/>
  <c r="A10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BE10" i="12"/>
  <c r="BF10" i="12"/>
  <c r="BG10" i="12"/>
  <c r="BH10" i="12"/>
  <c r="BI10" i="12"/>
  <c r="BJ10" i="12"/>
  <c r="BK10" i="12"/>
  <c r="BL10" i="12"/>
  <c r="BM10" i="12"/>
  <c r="BN10" i="12"/>
  <c r="BO10" i="12"/>
  <c r="BP10" i="12"/>
  <c r="BQ10" i="12"/>
  <c r="BR10" i="12"/>
  <c r="BS10" i="12"/>
  <c r="BT10" i="12"/>
  <c r="BU10" i="12"/>
  <c r="BV10" i="12"/>
  <c r="BW10" i="12"/>
  <c r="BX10" i="12"/>
  <c r="BY10" i="12"/>
  <c r="BZ10" i="12"/>
  <c r="CA10" i="12"/>
  <c r="CB10" i="12"/>
  <c r="CC10" i="12"/>
  <c r="CD10" i="12"/>
  <c r="CE10" i="12"/>
  <c r="CF10" i="12"/>
  <c r="CG10" i="12"/>
  <c r="CH10" i="12"/>
  <c r="CI10" i="12"/>
  <c r="CJ10" i="12"/>
  <c r="CK10" i="12"/>
  <c r="CL10" i="12"/>
  <c r="CM10" i="12"/>
  <c r="CN10" i="12"/>
  <c r="CO10" i="12"/>
  <c r="CP10" i="12"/>
  <c r="CQ10" i="12"/>
  <c r="CR10" i="12"/>
  <c r="CS10" i="12"/>
  <c r="CT10" i="12"/>
  <c r="CU10" i="12"/>
  <c r="CV10" i="12"/>
  <c r="CW10" i="12"/>
  <c r="CX10" i="12"/>
  <c r="CY10" i="12"/>
  <c r="CZ10" i="12"/>
  <c r="DA10" i="12"/>
  <c r="DB10" i="12"/>
  <c r="DC10" i="12"/>
  <c r="DD10" i="12"/>
  <c r="DE10" i="12"/>
  <c r="DF10" i="12"/>
  <c r="DG10" i="12"/>
  <c r="DH10" i="12"/>
  <c r="DI10" i="12"/>
  <c r="DJ10" i="12"/>
  <c r="DK10" i="12"/>
  <c r="DL10" i="12"/>
  <c r="DM10" i="12"/>
  <c r="DN10" i="12"/>
  <c r="DO10" i="12"/>
  <c r="DP10" i="12"/>
  <c r="DQ10" i="12"/>
  <c r="DR10" i="12"/>
  <c r="DS10" i="12"/>
  <c r="DT10" i="12"/>
  <c r="DU10" i="12"/>
  <c r="DV10" i="12"/>
  <c r="DW10" i="12"/>
  <c r="DX10" i="12"/>
  <c r="DY10" i="12"/>
  <c r="DZ10" i="12"/>
  <c r="EA10" i="12"/>
  <c r="EB10" i="12"/>
  <c r="EC10" i="12"/>
  <c r="ED10" i="12"/>
  <c r="EE10" i="12"/>
  <c r="EF10" i="12"/>
  <c r="EG10" i="12"/>
  <c r="EH10" i="12"/>
  <c r="EI10" i="12"/>
  <c r="EJ10" i="12"/>
  <c r="EK10" i="12"/>
  <c r="EL10" i="12"/>
  <c r="EM10" i="12"/>
  <c r="EN10" i="12"/>
  <c r="EO10" i="12"/>
  <c r="EP10" i="12"/>
  <c r="EQ10" i="12"/>
  <c r="ER10" i="12"/>
  <c r="ES10" i="12"/>
  <c r="ET10" i="12"/>
  <c r="EU10" i="12"/>
  <c r="EV10" i="12"/>
  <c r="EW10" i="12"/>
  <c r="EX10" i="12"/>
  <c r="EY10" i="12"/>
  <c r="EZ10" i="12"/>
  <c r="FA10" i="12"/>
  <c r="FB10" i="12"/>
  <c r="FC10" i="12"/>
  <c r="FD10" i="12"/>
  <c r="FE10" i="12"/>
  <c r="FF10" i="12"/>
  <c r="FG10" i="12"/>
  <c r="FH10" i="12"/>
  <c r="FI10" i="12"/>
  <c r="FJ10" i="12"/>
  <c r="FK10" i="12"/>
  <c r="FL10" i="12"/>
  <c r="FM10" i="12"/>
  <c r="FN10" i="12"/>
  <c r="FO10" i="12"/>
  <c r="FP10" i="12"/>
  <c r="FQ10" i="12"/>
  <c r="FR10" i="12"/>
  <c r="FS10" i="12"/>
  <c r="FT10" i="12"/>
  <c r="FU10" i="12"/>
  <c r="FV10" i="12"/>
  <c r="FW10" i="12"/>
  <c r="FX10" i="12"/>
  <c r="FY10" i="12"/>
  <c r="FZ10" i="12"/>
  <c r="GA10" i="12"/>
  <c r="GB10" i="12"/>
  <c r="GC10" i="12"/>
  <c r="GD10" i="12"/>
  <c r="GE10" i="12"/>
  <c r="GF10" i="12"/>
  <c r="GG10" i="12"/>
  <c r="GH10" i="12"/>
  <c r="GI10" i="12"/>
  <c r="GJ10" i="12"/>
  <c r="GK10" i="12"/>
  <c r="GL10" i="12"/>
  <c r="GM10" i="12"/>
  <c r="GN10" i="12"/>
  <c r="GO10" i="12"/>
  <c r="GP10" i="12"/>
  <c r="GQ10" i="12"/>
  <c r="GR10" i="12"/>
  <c r="GS10" i="12"/>
  <c r="GT10" i="12"/>
  <c r="GU10" i="12"/>
  <c r="GV10" i="12"/>
  <c r="GW10" i="12"/>
  <c r="GX10" i="12"/>
  <c r="GY10" i="12"/>
  <c r="GZ10" i="12"/>
  <c r="HA10" i="12"/>
  <c r="HB10" i="12"/>
  <c r="HC10" i="12"/>
  <c r="HD10" i="12"/>
  <c r="HE10" i="12"/>
  <c r="HF10" i="12"/>
  <c r="HG10" i="12"/>
  <c r="HH10" i="12"/>
  <c r="HI10" i="12"/>
  <c r="HJ10" i="12"/>
  <c r="HK10" i="12"/>
  <c r="HL10" i="12"/>
  <c r="HM10" i="12"/>
  <c r="HN10" i="12"/>
  <c r="HO10" i="12"/>
  <c r="HP10" i="12"/>
  <c r="HQ10" i="12"/>
  <c r="HR10" i="12"/>
  <c r="HS10" i="12"/>
  <c r="HT10" i="12"/>
  <c r="HU10" i="12"/>
  <c r="HV10" i="12"/>
  <c r="HW10" i="12"/>
  <c r="HX10" i="12"/>
  <c r="HY10" i="12"/>
  <c r="HZ10" i="12"/>
  <c r="IA10" i="12"/>
  <c r="IB10" i="12"/>
  <c r="IC10" i="12"/>
  <c r="ID10" i="12"/>
  <c r="IE10" i="12"/>
  <c r="IF10" i="12"/>
  <c r="IG10" i="12"/>
  <c r="IH10" i="12"/>
  <c r="II10" i="12"/>
  <c r="IJ10" i="12"/>
  <c r="IK10" i="12"/>
  <c r="IL10" i="12"/>
  <c r="IM10" i="12"/>
  <c r="IN10" i="12"/>
  <c r="IO10" i="12"/>
  <c r="IP10" i="12"/>
  <c r="IQ10" i="12"/>
  <c r="IR10" i="12"/>
  <c r="IS10" i="12"/>
  <c r="IT10" i="12"/>
  <c r="IU10" i="12"/>
  <c r="IV10" i="12"/>
  <c r="A11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BB11" i="12"/>
  <c r="BE11" i="12"/>
  <c r="BH11" i="12"/>
  <c r="BK11" i="12"/>
  <c r="BN11" i="12"/>
  <c r="BP11" i="12"/>
  <c r="BQ11" i="12"/>
  <c r="BR11" i="12"/>
  <c r="BS11" i="12"/>
  <c r="BT11" i="12"/>
  <c r="BU11" i="12"/>
  <c r="BV11" i="12"/>
  <c r="BW11" i="12"/>
  <c r="BX11" i="12"/>
  <c r="BY11" i="12"/>
  <c r="BZ11" i="12"/>
  <c r="CA11" i="12"/>
  <c r="CB11" i="12"/>
  <c r="CC11" i="12"/>
  <c r="CD11" i="12"/>
  <c r="CE11" i="12"/>
  <c r="CF11" i="12"/>
  <c r="CG11" i="12"/>
  <c r="CH11" i="12"/>
  <c r="CI11" i="12"/>
  <c r="CJ11" i="12"/>
  <c r="CK11" i="12"/>
  <c r="CL11" i="12"/>
  <c r="CM11" i="12"/>
  <c r="CN11" i="12"/>
  <c r="CO11" i="12"/>
  <c r="CP11" i="12"/>
  <c r="CQ11" i="12"/>
  <c r="CR11" i="12"/>
  <c r="CS11" i="12"/>
  <c r="CT11" i="12"/>
  <c r="CU11" i="12"/>
  <c r="CV11" i="12"/>
  <c r="CW11" i="12"/>
  <c r="CX11" i="12"/>
  <c r="CY11" i="12"/>
  <c r="CZ11" i="12"/>
  <c r="DA11" i="12"/>
  <c r="DB11" i="12"/>
  <c r="DC11" i="12"/>
  <c r="DD11" i="12"/>
  <c r="DE11" i="12"/>
  <c r="DF11" i="12"/>
  <c r="DG11" i="12"/>
  <c r="DH11" i="12"/>
  <c r="DI11" i="12"/>
  <c r="DJ11" i="12"/>
  <c r="DK11" i="12"/>
  <c r="DL11" i="12"/>
  <c r="DM11" i="12"/>
  <c r="DN11" i="12"/>
  <c r="DO11" i="12"/>
  <c r="DP11" i="12"/>
  <c r="DQ11" i="12"/>
  <c r="DR11" i="12"/>
  <c r="DS11" i="12"/>
  <c r="DT11" i="12"/>
  <c r="DU11" i="12"/>
  <c r="DV11" i="12"/>
  <c r="DW11" i="12"/>
  <c r="DX11" i="12"/>
  <c r="DY11" i="12"/>
  <c r="DZ11" i="12"/>
  <c r="EA11" i="12"/>
  <c r="EB11" i="12"/>
  <c r="EC11" i="12"/>
  <c r="ED11" i="12"/>
  <c r="EE11" i="12"/>
  <c r="EF11" i="12"/>
  <c r="EG11" i="12"/>
  <c r="EH11" i="12"/>
  <c r="EI11" i="12"/>
  <c r="EJ11" i="12"/>
  <c r="EK11" i="12"/>
  <c r="EL11" i="12"/>
  <c r="EM11" i="12"/>
  <c r="EN11" i="12"/>
  <c r="EO11" i="12"/>
  <c r="EP11" i="12"/>
  <c r="EQ11" i="12"/>
  <c r="ER11" i="12"/>
  <c r="ES11" i="12"/>
  <c r="ET11" i="12"/>
  <c r="EU11" i="12"/>
  <c r="EV11" i="12"/>
  <c r="EW11" i="12"/>
  <c r="EX11" i="12"/>
  <c r="EY11" i="12"/>
  <c r="EZ11" i="12"/>
  <c r="FA11" i="12"/>
  <c r="FB11" i="12"/>
  <c r="FC11" i="12"/>
  <c r="FD11" i="12"/>
  <c r="FE11" i="12"/>
  <c r="FF11" i="12"/>
  <c r="FG11" i="12"/>
  <c r="FH11" i="12"/>
  <c r="FI11" i="12"/>
  <c r="FJ11" i="12"/>
  <c r="FK11" i="12"/>
  <c r="FL11" i="12"/>
  <c r="FM11" i="12"/>
  <c r="FN11" i="12"/>
  <c r="FO11" i="12"/>
  <c r="FP11" i="12"/>
  <c r="FQ11" i="12"/>
  <c r="FR11" i="12"/>
  <c r="FS11" i="12"/>
  <c r="FT11" i="12"/>
  <c r="FU11" i="12"/>
  <c r="FV11" i="12"/>
  <c r="FW11" i="12"/>
  <c r="FX11" i="12"/>
  <c r="FY11" i="12"/>
  <c r="FZ11" i="12"/>
  <c r="GA11" i="12"/>
  <c r="GB11" i="12"/>
  <c r="GC11" i="12"/>
  <c r="GD11" i="12"/>
  <c r="GE11" i="12"/>
  <c r="GF11" i="12"/>
  <c r="GG11" i="12"/>
  <c r="GH11" i="12"/>
  <c r="GI11" i="12"/>
  <c r="GJ11" i="12"/>
  <c r="GK11" i="12"/>
  <c r="GL11" i="12"/>
  <c r="GM11" i="12"/>
  <c r="GN11" i="12"/>
  <c r="GO11" i="12"/>
  <c r="GP11" i="12"/>
  <c r="GQ11" i="12"/>
  <c r="GR11" i="12"/>
  <c r="GS11" i="12"/>
  <c r="GT11" i="12"/>
  <c r="GU11" i="12"/>
  <c r="GV11" i="12"/>
  <c r="GW11" i="12"/>
  <c r="GX11" i="12"/>
  <c r="GY11" i="12"/>
  <c r="GZ11" i="12"/>
  <c r="HA11" i="12"/>
  <c r="HB11" i="12"/>
  <c r="HC11" i="12"/>
  <c r="HD11" i="12"/>
  <c r="HE11" i="12"/>
  <c r="HF11" i="12"/>
  <c r="HG11" i="12"/>
  <c r="HH11" i="12"/>
  <c r="HI11" i="12"/>
  <c r="HJ11" i="12"/>
  <c r="HK11" i="12"/>
  <c r="HL11" i="12"/>
  <c r="HM11" i="12"/>
  <c r="HN11" i="12"/>
  <c r="HO11" i="12"/>
  <c r="HP11" i="12"/>
  <c r="HQ11" i="12"/>
  <c r="HR11" i="12"/>
  <c r="HS11" i="12"/>
  <c r="HT11" i="12"/>
  <c r="HU11" i="12"/>
  <c r="HV11" i="12"/>
  <c r="HW11" i="12"/>
  <c r="HX11" i="12"/>
  <c r="HY11" i="12"/>
  <c r="HZ11" i="12"/>
  <c r="IA11" i="12"/>
  <c r="IB11" i="12"/>
  <c r="IC11" i="12"/>
  <c r="ID11" i="12"/>
  <c r="IE11" i="12"/>
  <c r="IF11" i="12"/>
  <c r="IG11" i="12"/>
  <c r="IH11" i="12"/>
  <c r="II11" i="12"/>
  <c r="IJ11" i="12"/>
  <c r="IK11" i="12"/>
  <c r="IL11" i="12"/>
  <c r="IM11" i="12"/>
  <c r="IN11" i="12"/>
  <c r="IO11" i="12"/>
  <c r="IP11" i="12"/>
  <c r="IQ11" i="12"/>
  <c r="IR11" i="12"/>
  <c r="IS11" i="12"/>
  <c r="IT11" i="12"/>
  <c r="IU11" i="12"/>
  <c r="IV11" i="12"/>
  <c r="A12" i="12"/>
  <c r="B12" i="12"/>
  <c r="C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BF12" i="12"/>
  <c r="BG12" i="12"/>
  <c r="BH12" i="12"/>
  <c r="BI12" i="12"/>
  <c r="BJ12" i="12"/>
  <c r="BK12" i="12"/>
  <c r="BL12" i="12"/>
  <c r="BM12" i="12"/>
  <c r="BN12" i="12"/>
  <c r="BO12" i="12"/>
  <c r="BP12" i="12"/>
  <c r="BQ12" i="12"/>
  <c r="BR12" i="12"/>
  <c r="BS12" i="12"/>
  <c r="BT12" i="12"/>
  <c r="BU12" i="12"/>
  <c r="BV12" i="12"/>
  <c r="BW12" i="12"/>
  <c r="BX12" i="12"/>
  <c r="BY12" i="12"/>
  <c r="BZ12" i="12"/>
  <c r="CA12" i="12"/>
  <c r="CB12" i="12"/>
  <c r="CC12" i="12"/>
  <c r="CD12" i="12"/>
  <c r="CE12" i="12"/>
  <c r="CF12" i="12"/>
  <c r="CG12" i="12"/>
  <c r="CH12" i="12"/>
  <c r="CI12" i="12"/>
  <c r="CJ12" i="12"/>
  <c r="CK12" i="12"/>
  <c r="CL12" i="12"/>
  <c r="CM12" i="12"/>
  <c r="CN12" i="12"/>
  <c r="CO12" i="12"/>
  <c r="CP12" i="12"/>
  <c r="CQ12" i="12"/>
  <c r="CR12" i="12"/>
  <c r="CS12" i="12"/>
  <c r="CT12" i="12"/>
  <c r="CU12" i="12"/>
  <c r="CV12" i="12"/>
  <c r="CW12" i="12"/>
  <c r="CX12" i="12"/>
  <c r="CY12" i="12"/>
  <c r="CZ12" i="12"/>
  <c r="DA12" i="12"/>
  <c r="DB12" i="12"/>
  <c r="DC12" i="12"/>
  <c r="DD12" i="12"/>
  <c r="DE12" i="12"/>
  <c r="DF12" i="12"/>
  <c r="DG12" i="12"/>
  <c r="DH12" i="12"/>
  <c r="DI12" i="12"/>
  <c r="DJ12" i="12"/>
  <c r="DK12" i="12"/>
  <c r="DL12" i="12"/>
  <c r="DM12" i="12"/>
  <c r="DN12" i="12"/>
  <c r="DO12" i="12"/>
  <c r="DP12" i="12"/>
  <c r="DQ12" i="12"/>
  <c r="DR12" i="12"/>
  <c r="DS12" i="12"/>
  <c r="DT12" i="12"/>
  <c r="DU12" i="12"/>
  <c r="DV12" i="12"/>
  <c r="DW12" i="12"/>
  <c r="DX12" i="12"/>
  <c r="DY12" i="12"/>
  <c r="DZ12" i="12"/>
  <c r="EA12" i="12"/>
  <c r="EB12" i="12"/>
  <c r="EC12" i="12"/>
  <c r="ED12" i="12"/>
  <c r="EE12" i="12"/>
  <c r="EF12" i="12"/>
  <c r="EG12" i="12"/>
  <c r="EH12" i="12"/>
  <c r="EI12" i="12"/>
  <c r="EJ12" i="12"/>
  <c r="EK12" i="12"/>
  <c r="EL12" i="12"/>
  <c r="EM12" i="12"/>
  <c r="EN12" i="12"/>
  <c r="EO12" i="12"/>
  <c r="EP12" i="12"/>
  <c r="EQ12" i="12"/>
  <c r="ER12" i="12"/>
  <c r="ES12" i="12"/>
  <c r="ET12" i="12"/>
  <c r="EU12" i="12"/>
  <c r="EV12" i="12"/>
  <c r="EW12" i="12"/>
  <c r="EX12" i="12"/>
  <c r="EY12" i="12"/>
  <c r="EZ12" i="12"/>
  <c r="FA12" i="12"/>
  <c r="FB12" i="12"/>
  <c r="FC12" i="12"/>
  <c r="FD12" i="12"/>
  <c r="FE12" i="12"/>
  <c r="FF12" i="12"/>
  <c r="FG12" i="12"/>
  <c r="FH12" i="12"/>
  <c r="FI12" i="12"/>
  <c r="FJ12" i="12"/>
  <c r="FK12" i="12"/>
  <c r="FL12" i="12"/>
  <c r="FM12" i="12"/>
  <c r="FN12" i="12"/>
  <c r="FO12" i="12"/>
  <c r="FP12" i="12"/>
  <c r="FQ12" i="12"/>
  <c r="FR12" i="12"/>
  <c r="FS12" i="12"/>
  <c r="FT12" i="12"/>
  <c r="FU12" i="12"/>
  <c r="FV12" i="12"/>
  <c r="FW12" i="12"/>
  <c r="FX12" i="12"/>
  <c r="FY12" i="12"/>
  <c r="FZ12" i="12"/>
  <c r="GA12" i="12"/>
  <c r="GB12" i="12"/>
  <c r="GC12" i="12"/>
  <c r="GD12" i="12"/>
  <c r="GE12" i="12"/>
  <c r="GF12" i="12"/>
  <c r="GG12" i="12"/>
  <c r="GH12" i="12"/>
  <c r="GI12" i="12"/>
  <c r="GJ12" i="12"/>
  <c r="GK12" i="12"/>
  <c r="GL12" i="12"/>
  <c r="GM12" i="12"/>
  <c r="GN12" i="12"/>
  <c r="GO12" i="12"/>
  <c r="GP12" i="12"/>
  <c r="GQ12" i="12"/>
  <c r="GR12" i="12"/>
  <c r="GS12" i="12"/>
  <c r="GT12" i="12"/>
  <c r="GU12" i="12"/>
  <c r="GV12" i="12"/>
  <c r="GW12" i="12"/>
  <c r="GX12" i="12"/>
  <c r="GY12" i="12"/>
  <c r="GZ12" i="12"/>
  <c r="HA12" i="12"/>
  <c r="HB12" i="12"/>
  <c r="HC12" i="12"/>
  <c r="HD12" i="12"/>
  <c r="HE12" i="12"/>
  <c r="HF12" i="12"/>
  <c r="HG12" i="12"/>
  <c r="HH12" i="12"/>
  <c r="HI12" i="12"/>
  <c r="HJ12" i="12"/>
  <c r="HK12" i="12"/>
  <c r="HL12" i="12"/>
  <c r="HM12" i="12"/>
  <c r="HN12" i="12"/>
  <c r="HO12" i="12"/>
  <c r="HP12" i="12"/>
  <c r="HQ12" i="12"/>
  <c r="HR12" i="12"/>
  <c r="HS12" i="12"/>
  <c r="HT12" i="12"/>
  <c r="HU12" i="12"/>
  <c r="HV12" i="12"/>
  <c r="HW12" i="12"/>
  <c r="HX12" i="12"/>
  <c r="HY12" i="12"/>
  <c r="HZ12" i="12"/>
  <c r="IA12" i="12"/>
  <c r="IB12" i="12"/>
  <c r="IC12" i="12"/>
  <c r="ID12" i="12"/>
  <c r="IE12" i="12"/>
  <c r="IF12" i="12"/>
  <c r="IG12" i="12"/>
  <c r="IH12" i="12"/>
  <c r="II12" i="12"/>
  <c r="IJ12" i="12"/>
  <c r="IK12" i="12"/>
  <c r="IL12" i="12"/>
  <c r="IM12" i="12"/>
  <c r="IN12" i="12"/>
  <c r="IO12" i="12"/>
  <c r="IP12" i="12"/>
  <c r="IQ12" i="12"/>
  <c r="IR12" i="12"/>
  <c r="IS12" i="12"/>
  <c r="IT12" i="12"/>
  <c r="IU12" i="12"/>
  <c r="IV12" i="12"/>
  <c r="A13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BF13" i="12"/>
  <c r="BG13" i="12"/>
  <c r="BH13" i="12"/>
  <c r="BI13" i="12"/>
  <c r="BJ13" i="12"/>
  <c r="BK13" i="12"/>
  <c r="BL13" i="12"/>
  <c r="BM13" i="12"/>
  <c r="BN13" i="12"/>
  <c r="BO13" i="12"/>
  <c r="BP13" i="12"/>
  <c r="BQ13" i="12"/>
  <c r="BR13" i="12"/>
  <c r="BS13" i="12"/>
  <c r="BT13" i="12"/>
  <c r="BU13" i="12"/>
  <c r="BV13" i="12"/>
  <c r="BW13" i="12"/>
  <c r="BX13" i="12"/>
  <c r="BY13" i="12"/>
  <c r="BZ13" i="12"/>
  <c r="CA13" i="12"/>
  <c r="CB13" i="12"/>
  <c r="CC13" i="12"/>
  <c r="CD13" i="12"/>
  <c r="CE13" i="12"/>
  <c r="CF13" i="12"/>
  <c r="CG13" i="12"/>
  <c r="CH13" i="12"/>
  <c r="CI13" i="12"/>
  <c r="CJ13" i="12"/>
  <c r="CK13" i="12"/>
  <c r="CL13" i="12"/>
  <c r="CM13" i="12"/>
  <c r="CN13" i="12"/>
  <c r="CO13" i="12"/>
  <c r="CP13" i="12"/>
  <c r="CQ13" i="12"/>
  <c r="CR13" i="12"/>
  <c r="CS13" i="12"/>
  <c r="CT13" i="12"/>
  <c r="CU13" i="12"/>
  <c r="CV13" i="12"/>
  <c r="CW13" i="12"/>
  <c r="CX13" i="12"/>
  <c r="CY13" i="12"/>
  <c r="CZ13" i="12"/>
  <c r="DA13" i="12"/>
  <c r="DB13" i="12"/>
  <c r="DC13" i="12"/>
  <c r="DD13" i="12"/>
  <c r="DE13" i="12"/>
  <c r="DF13" i="12"/>
  <c r="DG13" i="12"/>
  <c r="DH13" i="12"/>
  <c r="DI13" i="12"/>
  <c r="DJ13" i="12"/>
  <c r="DK13" i="12"/>
  <c r="DL13" i="12"/>
  <c r="DM13" i="12"/>
  <c r="DN13" i="12"/>
  <c r="DO13" i="12"/>
  <c r="DP13" i="12"/>
  <c r="DQ13" i="12"/>
  <c r="DR13" i="12"/>
  <c r="DS13" i="12"/>
  <c r="DT13" i="12"/>
  <c r="DU13" i="12"/>
  <c r="DV13" i="12"/>
  <c r="DW13" i="12"/>
  <c r="DX13" i="12"/>
  <c r="DY13" i="12"/>
  <c r="DZ13" i="12"/>
  <c r="EA13" i="12"/>
  <c r="EB13" i="12"/>
  <c r="EC13" i="12"/>
  <c r="ED13" i="12"/>
  <c r="EE13" i="12"/>
  <c r="EF13" i="12"/>
  <c r="EG13" i="12"/>
  <c r="EH13" i="12"/>
  <c r="EI13" i="12"/>
  <c r="EJ13" i="12"/>
  <c r="EK13" i="12"/>
  <c r="EL13" i="12"/>
  <c r="EM13" i="12"/>
  <c r="EN13" i="12"/>
  <c r="EO13" i="12"/>
  <c r="EP13" i="12"/>
  <c r="EQ13" i="12"/>
  <c r="ER13" i="12"/>
  <c r="ES13" i="12"/>
  <c r="ET13" i="12"/>
  <c r="EU13" i="12"/>
  <c r="EV13" i="12"/>
  <c r="EW13" i="12"/>
  <c r="EX13" i="12"/>
  <c r="EY13" i="12"/>
  <c r="EZ13" i="12"/>
  <c r="FA13" i="12"/>
  <c r="FB13" i="12"/>
  <c r="FC13" i="12"/>
  <c r="FD13" i="12"/>
  <c r="FE13" i="12"/>
  <c r="FF13" i="12"/>
  <c r="FG13" i="12"/>
  <c r="FH13" i="12"/>
  <c r="FI13" i="12"/>
  <c r="FJ13" i="12"/>
  <c r="FK13" i="12"/>
  <c r="FL13" i="12"/>
  <c r="FM13" i="12"/>
  <c r="FN13" i="12"/>
  <c r="FO13" i="12"/>
  <c r="FP13" i="12"/>
  <c r="FQ13" i="12"/>
  <c r="FR13" i="12"/>
  <c r="FS13" i="12"/>
  <c r="FT13" i="12"/>
  <c r="FU13" i="12"/>
  <c r="FV13" i="12"/>
  <c r="FW13" i="12"/>
  <c r="FX13" i="12"/>
  <c r="FY13" i="12"/>
  <c r="FZ13" i="12"/>
  <c r="GA13" i="12"/>
  <c r="GB13" i="12"/>
  <c r="GC13" i="12"/>
  <c r="GD13" i="12"/>
  <c r="GE13" i="12"/>
  <c r="GF13" i="12"/>
  <c r="GG13" i="12"/>
  <c r="GH13" i="12"/>
  <c r="GI13" i="12"/>
  <c r="GJ13" i="12"/>
  <c r="GK13" i="12"/>
  <c r="GL13" i="12"/>
  <c r="GM13" i="12"/>
  <c r="GN13" i="12"/>
  <c r="GO13" i="12"/>
  <c r="GP13" i="12"/>
  <c r="GQ13" i="12"/>
  <c r="GR13" i="12"/>
  <c r="GS13" i="12"/>
  <c r="GT13" i="12"/>
  <c r="GU13" i="12"/>
  <c r="GV13" i="12"/>
  <c r="GW13" i="12"/>
  <c r="GX13" i="12"/>
  <c r="GY13" i="12"/>
  <c r="GZ13" i="12"/>
  <c r="HA13" i="12"/>
  <c r="HB13" i="12"/>
  <c r="HC13" i="12"/>
  <c r="HD13" i="12"/>
  <c r="HE13" i="12"/>
  <c r="HF13" i="12"/>
  <c r="HG13" i="12"/>
  <c r="HH13" i="12"/>
  <c r="HI13" i="12"/>
  <c r="HJ13" i="12"/>
  <c r="HK13" i="12"/>
  <c r="HL13" i="12"/>
  <c r="HM13" i="12"/>
  <c r="HN13" i="12"/>
  <c r="HO13" i="12"/>
  <c r="HP13" i="12"/>
  <c r="HQ13" i="12"/>
  <c r="HR13" i="12"/>
  <c r="HS13" i="12"/>
  <c r="HT13" i="12"/>
  <c r="HU13" i="12"/>
  <c r="HV13" i="12"/>
  <c r="HW13" i="12"/>
  <c r="HX13" i="12"/>
  <c r="HY13" i="12"/>
  <c r="HZ13" i="12"/>
  <c r="IA13" i="12"/>
  <c r="IB13" i="12"/>
  <c r="IC13" i="12"/>
  <c r="ID13" i="12"/>
  <c r="IE13" i="12"/>
  <c r="IF13" i="12"/>
  <c r="IG13" i="12"/>
  <c r="IH13" i="12"/>
  <c r="II13" i="12"/>
  <c r="IJ13" i="12"/>
  <c r="IK13" i="12"/>
  <c r="IL13" i="12"/>
  <c r="IM13" i="12"/>
  <c r="IN13" i="12"/>
  <c r="IO13" i="12"/>
  <c r="IP13" i="12"/>
  <c r="IQ13" i="12"/>
  <c r="IR13" i="12"/>
  <c r="IS13" i="12"/>
  <c r="IT13" i="12"/>
  <c r="IU13" i="12"/>
  <c r="IV13" i="12"/>
  <c r="A14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W14" i="12"/>
  <c r="AX14" i="12"/>
  <c r="AY14" i="12"/>
  <c r="AZ14" i="12"/>
  <c r="BA14" i="12"/>
  <c r="BB14" i="12"/>
  <c r="BC14" i="12"/>
  <c r="BD14" i="12"/>
  <c r="BE14" i="12"/>
  <c r="BF14" i="12"/>
  <c r="BG14" i="12"/>
  <c r="BH14" i="12"/>
  <c r="BI14" i="12"/>
  <c r="BJ14" i="12"/>
  <c r="BK14" i="12"/>
  <c r="BL14" i="12"/>
  <c r="BM14" i="12"/>
  <c r="BN14" i="12"/>
  <c r="BO14" i="12"/>
  <c r="BP14" i="12"/>
  <c r="BQ14" i="12"/>
  <c r="BR14" i="12"/>
  <c r="BS14" i="12"/>
  <c r="BT14" i="12"/>
  <c r="BU14" i="12"/>
  <c r="BV14" i="12"/>
  <c r="BW14" i="12"/>
  <c r="BX14" i="12"/>
  <c r="BY14" i="12"/>
  <c r="BZ14" i="12"/>
  <c r="CA14" i="12"/>
  <c r="CB14" i="12"/>
  <c r="CC14" i="12"/>
  <c r="CD14" i="12"/>
  <c r="CE14" i="12"/>
  <c r="CF14" i="12"/>
  <c r="CG14" i="12"/>
  <c r="CH14" i="12"/>
  <c r="CI14" i="12"/>
  <c r="CJ14" i="12"/>
  <c r="CK14" i="12"/>
  <c r="CL14" i="12"/>
  <c r="CM14" i="12"/>
  <c r="CN14" i="12"/>
  <c r="CO14" i="12"/>
  <c r="CP14" i="12"/>
  <c r="CQ14" i="12"/>
  <c r="CR14" i="12"/>
  <c r="CS14" i="12"/>
  <c r="CT14" i="12"/>
  <c r="CU14" i="12"/>
  <c r="CV14" i="12"/>
  <c r="CW14" i="12"/>
  <c r="CX14" i="12"/>
  <c r="CY14" i="12"/>
  <c r="CZ14" i="12"/>
  <c r="DA14" i="12"/>
  <c r="DB14" i="12"/>
  <c r="DC14" i="12"/>
  <c r="DD14" i="12"/>
  <c r="DE14" i="12"/>
  <c r="DF14" i="12"/>
  <c r="DG14" i="12"/>
  <c r="DH14" i="12"/>
  <c r="DI14" i="12"/>
  <c r="DJ14" i="12"/>
  <c r="DK14" i="12"/>
  <c r="DL14" i="12"/>
  <c r="DM14" i="12"/>
  <c r="DN14" i="12"/>
  <c r="DO14" i="12"/>
  <c r="DP14" i="12"/>
  <c r="DQ14" i="12"/>
  <c r="DR14" i="12"/>
  <c r="DS14" i="12"/>
  <c r="DT14" i="12"/>
  <c r="DU14" i="12"/>
  <c r="DV14" i="12"/>
  <c r="DW14" i="12"/>
  <c r="DX14" i="12"/>
  <c r="DY14" i="12"/>
  <c r="DZ14" i="12"/>
  <c r="EA14" i="12"/>
  <c r="EB14" i="12"/>
  <c r="EC14" i="12"/>
  <c r="ED14" i="12"/>
  <c r="EE14" i="12"/>
  <c r="EF14" i="12"/>
  <c r="EG14" i="12"/>
  <c r="EH14" i="12"/>
  <c r="EI14" i="12"/>
  <c r="EJ14" i="12"/>
  <c r="EK14" i="12"/>
  <c r="EL14" i="12"/>
  <c r="EM14" i="12"/>
  <c r="EN14" i="12"/>
  <c r="EO14" i="12"/>
  <c r="EP14" i="12"/>
  <c r="EQ14" i="12"/>
  <c r="ER14" i="12"/>
  <c r="ES14" i="12"/>
  <c r="ET14" i="12"/>
  <c r="EU14" i="12"/>
  <c r="EV14" i="12"/>
  <c r="EW14" i="12"/>
  <c r="EX14" i="12"/>
  <c r="EY14" i="12"/>
  <c r="EZ14" i="12"/>
  <c r="FA14" i="12"/>
  <c r="FB14" i="12"/>
  <c r="FC14" i="12"/>
  <c r="FD14" i="12"/>
  <c r="FE14" i="12"/>
  <c r="FF14" i="12"/>
  <c r="FG14" i="12"/>
  <c r="FH14" i="12"/>
  <c r="FI14" i="12"/>
  <c r="FJ14" i="12"/>
  <c r="FK14" i="12"/>
  <c r="FL14" i="12"/>
  <c r="FM14" i="12"/>
  <c r="FN14" i="12"/>
  <c r="FO14" i="12"/>
  <c r="FP14" i="12"/>
  <c r="FQ14" i="12"/>
  <c r="FR14" i="12"/>
  <c r="FS14" i="12"/>
  <c r="FT14" i="12"/>
  <c r="FU14" i="12"/>
  <c r="FV14" i="12"/>
  <c r="FW14" i="12"/>
  <c r="FX14" i="12"/>
  <c r="FY14" i="12"/>
  <c r="FZ14" i="12"/>
  <c r="GA14" i="12"/>
  <c r="GB14" i="12"/>
  <c r="GC14" i="12"/>
  <c r="GD14" i="12"/>
  <c r="GE14" i="12"/>
  <c r="GF14" i="12"/>
  <c r="GG14" i="12"/>
  <c r="GH14" i="12"/>
  <c r="GI14" i="12"/>
  <c r="GJ14" i="12"/>
  <c r="GK14" i="12"/>
  <c r="GL14" i="12"/>
  <c r="GM14" i="12"/>
  <c r="GN14" i="12"/>
  <c r="GO14" i="12"/>
  <c r="GP14" i="12"/>
  <c r="E12" i="12"/>
  <c r="F12" i="12"/>
  <c r="F17" i="6"/>
  <c r="C6" i="6" s="1"/>
  <c r="D6" i="6" s="1"/>
  <c r="F18" i="6"/>
  <c r="C7" i="6" s="1"/>
  <c r="D7" i="6" s="1"/>
  <c r="F19" i="6"/>
  <c r="C8" i="6" s="1"/>
  <c r="D8" i="6" s="1"/>
  <c r="F20" i="6"/>
  <c r="C9" i="6" s="1"/>
  <c r="F21" i="6"/>
  <c r="C10" i="6" s="1"/>
  <c r="D10" i="6" s="1"/>
  <c r="F22" i="6"/>
  <c r="C11" i="6" s="1"/>
  <c r="D11" i="6" s="1"/>
  <c r="F23" i="6"/>
  <c r="C12" i="6" s="1"/>
  <c r="D12" i="6" s="1"/>
  <c r="F24" i="6"/>
  <c r="C13" i="6" s="1"/>
  <c r="D13" i="6" s="1"/>
  <c r="F27" i="6"/>
  <c r="F6" i="6" s="1"/>
  <c r="G6" i="6" s="1"/>
  <c r="F28" i="6"/>
  <c r="F7" i="6" s="1"/>
  <c r="G7" i="6" s="1"/>
  <c r="F29" i="6"/>
  <c r="F8" i="6" s="1"/>
  <c r="G8" i="6" s="1"/>
  <c r="F30" i="6"/>
  <c r="F9" i="6" s="1"/>
  <c r="F31" i="6"/>
  <c r="F10" i="6" s="1"/>
  <c r="G10" i="6" s="1"/>
  <c r="F33" i="6"/>
  <c r="F12" i="6" s="1"/>
  <c r="G12" i="6" s="1"/>
  <c r="F34" i="6"/>
  <c r="F13" i="6" s="1"/>
  <c r="G13" i="6" s="1"/>
  <c r="F37" i="6"/>
  <c r="I6" i="6" s="1"/>
  <c r="J6" i="6" s="1"/>
  <c r="F38" i="6"/>
  <c r="I7" i="6" s="1"/>
  <c r="J7" i="6" s="1"/>
  <c r="F39" i="6"/>
  <c r="I8" i="6" s="1"/>
  <c r="J8" i="6" s="1"/>
  <c r="F40" i="6"/>
  <c r="I9" i="6" s="1"/>
  <c r="F41" i="6"/>
  <c r="I10" i="6" s="1"/>
  <c r="J10" i="6" s="1"/>
  <c r="F42" i="6"/>
  <c r="I11" i="6" s="1"/>
  <c r="J11" i="6" s="1"/>
  <c r="F43" i="6"/>
  <c r="I12" i="6" s="1"/>
  <c r="J12" i="6" s="1"/>
  <c r="F44" i="6"/>
  <c r="I13" i="6" s="1"/>
  <c r="J13" i="6" s="1"/>
  <c r="F47" i="6"/>
  <c r="L6" i="6" s="1"/>
  <c r="M6" i="6" s="1"/>
  <c r="F48" i="6"/>
  <c r="L7" i="6" s="1"/>
  <c r="M7" i="6" s="1"/>
  <c r="F49" i="6"/>
  <c r="L8" i="6" s="1"/>
  <c r="M8" i="6" s="1"/>
  <c r="F50" i="6"/>
  <c r="L9" i="6" s="1"/>
  <c r="M9" i="6" s="1"/>
  <c r="F51" i="6"/>
  <c r="L10" i="6" s="1"/>
  <c r="M10" i="6" s="1"/>
  <c r="F52" i="6"/>
  <c r="L11" i="6" s="1"/>
  <c r="M11" i="6" s="1"/>
  <c r="F53" i="6"/>
  <c r="L12" i="6" s="1"/>
  <c r="M12" i="6" s="1"/>
  <c r="F54" i="6"/>
  <c r="L13" i="6" s="1"/>
  <c r="M13" i="6" s="1"/>
  <c r="D7" i="4"/>
  <c r="D8" i="4"/>
  <c r="D9" i="4"/>
  <c r="D10" i="4"/>
  <c r="D11" i="4"/>
  <c r="D12" i="4"/>
  <c r="D13" i="4"/>
  <c r="E6" i="4"/>
  <c r="E7" i="4"/>
  <c r="E8" i="4"/>
  <c r="F16" i="3"/>
  <c r="C6" i="3" s="1"/>
  <c r="F17" i="3"/>
  <c r="C7" i="3" s="1"/>
  <c r="D7" i="3" s="1"/>
  <c r="F18" i="3"/>
  <c r="C8" i="3" s="1"/>
  <c r="D8" i="3" s="1"/>
  <c r="F19" i="3"/>
  <c r="C9" i="3" s="1"/>
  <c r="D9" i="3" s="1"/>
  <c r="F20" i="3"/>
  <c r="C10" i="3" s="1"/>
  <c r="D10" i="3" s="1"/>
  <c r="F21" i="3"/>
  <c r="C11" i="3" s="1"/>
  <c r="D11" i="3" s="1"/>
  <c r="F22" i="3"/>
  <c r="C12" i="3" s="1"/>
  <c r="D12" i="3" s="1"/>
  <c r="F23" i="3"/>
  <c r="C13" i="3" s="1"/>
  <c r="D13" i="3" s="1"/>
  <c r="F26" i="3"/>
  <c r="F6" i="3" s="1"/>
  <c r="F27" i="3"/>
  <c r="F7" i="3" s="1"/>
  <c r="G7" i="3" s="1"/>
  <c r="F28" i="3"/>
  <c r="F8" i="3" s="1"/>
  <c r="G8" i="3" s="1"/>
  <c r="F29" i="3"/>
  <c r="F9" i="3" s="1"/>
  <c r="G9" i="3" s="1"/>
  <c r="F30" i="3"/>
  <c r="F10" i="3" s="1"/>
  <c r="G10" i="3" s="1"/>
  <c r="F31" i="3"/>
  <c r="F11" i="3" s="1"/>
  <c r="G11" i="3" s="1"/>
  <c r="F32" i="3"/>
  <c r="F12" i="3" s="1"/>
  <c r="G12" i="3" s="1"/>
  <c r="F33" i="3"/>
  <c r="F13" i="3" s="1"/>
  <c r="G13" i="3" s="1"/>
  <c r="F36" i="3"/>
  <c r="I6" i="3" s="1"/>
  <c r="F37" i="3"/>
  <c r="I7" i="3" s="1"/>
  <c r="J7" i="3" s="1"/>
  <c r="F38" i="3"/>
  <c r="I8" i="3" s="1"/>
  <c r="J8" i="3" s="1"/>
  <c r="F39" i="3"/>
  <c r="I9" i="3" s="1"/>
  <c r="J9" i="3" s="1"/>
  <c r="F40" i="3"/>
  <c r="I10" i="3" s="1"/>
  <c r="J10" i="3" s="1"/>
  <c r="F41" i="3"/>
  <c r="I11" i="3" s="1"/>
  <c r="J11" i="3" s="1"/>
  <c r="F42" i="3"/>
  <c r="I12" i="3" s="1"/>
  <c r="J12" i="3" s="1"/>
  <c r="F43" i="3"/>
  <c r="I13" i="3" s="1"/>
  <c r="J13" i="3" s="1"/>
  <c r="F46" i="3"/>
  <c r="L6" i="3" s="1"/>
  <c r="F47" i="3"/>
  <c r="L7" i="3" s="1"/>
  <c r="M7" i="3" s="1"/>
  <c r="F48" i="3"/>
  <c r="L8" i="3" s="1"/>
  <c r="M8" i="3" s="1"/>
  <c r="F49" i="3"/>
  <c r="L9" i="3" s="1"/>
  <c r="M9" i="3" s="1"/>
  <c r="F50" i="3"/>
  <c r="L10" i="3" s="1"/>
  <c r="M10" i="3" s="1"/>
  <c r="F51" i="3"/>
  <c r="L11" i="3" s="1"/>
  <c r="M11" i="3" s="1"/>
  <c r="F52" i="3"/>
  <c r="L12" i="3" s="1"/>
  <c r="M12" i="3" s="1"/>
  <c r="F53" i="3"/>
  <c r="L13" i="3" s="1"/>
  <c r="M13" i="3" s="1"/>
  <c r="F56" i="3"/>
  <c r="O6" i="3" s="1"/>
  <c r="F57" i="3"/>
  <c r="O7" i="3" s="1"/>
  <c r="P7" i="3" s="1"/>
  <c r="F58" i="3"/>
  <c r="O8" i="3" s="1"/>
  <c r="P8" i="3" s="1"/>
  <c r="F59" i="3"/>
  <c r="O9" i="3" s="1"/>
  <c r="P9" i="3" s="1"/>
  <c r="F60" i="3"/>
  <c r="O10" i="3" s="1"/>
  <c r="P10" i="3" s="1"/>
  <c r="F61" i="3"/>
  <c r="O11" i="3" s="1"/>
  <c r="P11" i="3" s="1"/>
  <c r="F62" i="3"/>
  <c r="O12" i="3" s="1"/>
  <c r="P12" i="3" s="1"/>
  <c r="F63" i="3"/>
  <c r="O13" i="3" s="1"/>
  <c r="P13" i="3" s="1"/>
  <c r="F66" i="3"/>
  <c r="R6" i="3" s="1"/>
  <c r="F67" i="3"/>
  <c r="R7" i="3" s="1"/>
  <c r="S7" i="3" s="1"/>
  <c r="F68" i="3"/>
  <c r="R8" i="3" s="1"/>
  <c r="S8" i="3" s="1"/>
  <c r="F69" i="3"/>
  <c r="R9" i="3" s="1"/>
  <c r="S9" i="3" s="1"/>
  <c r="F70" i="3"/>
  <c r="R10" i="3" s="1"/>
  <c r="S10" i="3" s="1"/>
  <c r="F71" i="3"/>
  <c r="R11" i="3" s="1"/>
  <c r="S11" i="3" s="1"/>
  <c r="F72" i="3"/>
  <c r="R12" i="3" s="1"/>
  <c r="S12" i="3" s="1"/>
  <c r="F73" i="3"/>
  <c r="R13" i="3" s="1"/>
  <c r="S13" i="3" s="1"/>
  <c r="G6" i="2"/>
  <c r="G7" i="2"/>
  <c r="G8" i="2"/>
  <c r="G9" i="2"/>
  <c r="G12" i="2"/>
  <c r="G13" i="2"/>
  <c r="G10" i="2"/>
  <c r="F32" i="6"/>
  <c r="F11" i="6" s="1"/>
  <c r="G11" i="6" s="1"/>
  <c r="G11" i="2"/>
  <c r="CZ9" i="12" l="1"/>
  <c r="B11" i="1"/>
  <c r="C11" i="1" s="1"/>
  <c r="B10" i="1"/>
  <c r="C10" i="1" s="1"/>
  <c r="B14" i="1"/>
  <c r="C14" i="1" s="1"/>
  <c r="B9" i="1"/>
  <c r="C9" i="1" s="1"/>
  <c r="B13" i="1"/>
  <c r="C13" i="1" s="1"/>
  <c r="B15" i="1"/>
  <c r="C15" i="1" s="1"/>
  <c r="B16" i="1"/>
  <c r="C16" i="1" s="1"/>
  <c r="B12" i="1"/>
  <c r="C12" i="1" s="1"/>
  <c r="FM7" i="12"/>
  <c r="F6" i="4"/>
  <c r="F9" i="1" s="1"/>
  <c r="G9" i="1" s="1"/>
  <c r="BI11" i="12"/>
  <c r="BM11" i="12"/>
  <c r="F13" i="4"/>
  <c r="F16" i="1" s="1"/>
  <c r="G16" i="1" s="1"/>
  <c r="HK6" i="12"/>
  <c r="J6" i="3"/>
  <c r="HL6" i="12" s="1"/>
  <c r="F12" i="4"/>
  <c r="F15" i="1" s="1"/>
  <c r="G15" i="1" s="1"/>
  <c r="F10" i="4"/>
  <c r="F13" i="1" s="1"/>
  <c r="G13" i="1" s="1"/>
  <c r="F8" i="4"/>
  <c r="F11" i="1" s="1"/>
  <c r="G11" i="1" s="1"/>
  <c r="J9" i="6"/>
  <c r="BJ11" i="12" s="1"/>
  <c r="D12" i="12"/>
  <c r="BL11" i="12"/>
  <c r="BF11" i="12"/>
  <c r="G9" i="6"/>
  <c r="BG11" i="12" s="1"/>
  <c r="O7" i="6"/>
  <c r="H10" i="1" s="1"/>
  <c r="I10" i="1" s="1"/>
  <c r="O13" i="6"/>
  <c r="H16" i="1" s="1"/>
  <c r="I16" i="1" s="1"/>
  <c r="O12" i="6"/>
  <c r="H15" i="1" s="1"/>
  <c r="I15" i="1" s="1"/>
  <c r="O6" i="6"/>
  <c r="H9" i="1" s="1"/>
  <c r="I9" i="1" s="1"/>
  <c r="O10" i="6"/>
  <c r="H13" i="1" s="1"/>
  <c r="I13" i="1" s="1"/>
  <c r="O8" i="6"/>
  <c r="H11" i="1" s="1"/>
  <c r="I11" i="1" s="1"/>
  <c r="BC11" i="12"/>
  <c r="D9" i="6"/>
  <c r="BD11" i="12" s="1"/>
  <c r="O11" i="6"/>
  <c r="H14" i="1" s="1"/>
  <c r="I14" i="1" s="1"/>
  <c r="FL7" i="12"/>
  <c r="F9" i="4"/>
  <c r="F12" i="1" s="1"/>
  <c r="G12" i="1" s="1"/>
  <c r="F11" i="4"/>
  <c r="F14" i="1" s="1"/>
  <c r="G14" i="1" s="1"/>
  <c r="F7" i="4"/>
  <c r="F10" i="1" s="1"/>
  <c r="G10" i="1" s="1"/>
  <c r="S6" i="3"/>
  <c r="HU6" i="12" s="1"/>
  <c r="HT6" i="12"/>
  <c r="HQ6" i="12"/>
  <c r="P6" i="3"/>
  <c r="HR6" i="12" s="1"/>
  <c r="HN6" i="12"/>
  <c r="M6" i="3"/>
  <c r="HO6" i="12" s="1"/>
  <c r="HH6" i="12"/>
  <c r="G6" i="3"/>
  <c r="HI6" i="12" s="1"/>
  <c r="T13" i="3"/>
  <c r="D16" i="1" s="1"/>
  <c r="E16" i="1" s="1"/>
  <c r="T7" i="3"/>
  <c r="D10" i="1" s="1"/>
  <c r="E10" i="1" s="1"/>
  <c r="T11" i="3"/>
  <c r="D14" i="1" s="1"/>
  <c r="E14" i="1" s="1"/>
  <c r="T12" i="3"/>
  <c r="D15" i="1" s="1"/>
  <c r="E15" i="1" s="1"/>
  <c r="T10" i="3"/>
  <c r="D13" i="1" s="1"/>
  <c r="E13" i="1" s="1"/>
  <c r="T9" i="3"/>
  <c r="D12" i="1" s="1"/>
  <c r="E12" i="1" s="1"/>
  <c r="T8" i="3"/>
  <c r="D11" i="1" s="1"/>
  <c r="E11" i="1" s="1"/>
  <c r="HE6" i="12"/>
  <c r="D6" i="3"/>
  <c r="J11" i="1" l="1"/>
  <c r="K11" i="1" s="1"/>
  <c r="L11" i="1" s="1"/>
  <c r="J16" i="1"/>
  <c r="K16" i="1" s="1"/>
  <c r="L16" i="1" s="1"/>
  <c r="J10" i="1"/>
  <c r="K10" i="1" s="1"/>
  <c r="L10" i="1" s="1"/>
  <c r="J14" i="1"/>
  <c r="K14" i="1" s="1"/>
  <c r="L14" i="1" s="1"/>
  <c r="J13" i="1"/>
  <c r="K13" i="1" s="1"/>
  <c r="L13" i="1" s="1"/>
  <c r="J15" i="1"/>
  <c r="K15" i="1" s="1"/>
  <c r="L15" i="1" s="1"/>
  <c r="O9" i="6"/>
  <c r="H12" i="1" s="1"/>
  <c r="I12" i="1" s="1"/>
  <c r="J12" i="1" s="1"/>
  <c r="HF6" i="12"/>
  <c r="T6" i="3"/>
  <c r="K12" i="1" l="1"/>
  <c r="L12" i="1" s="1"/>
  <c r="BO11" i="12"/>
  <c r="HV6" i="12"/>
  <c r="D9" i="1"/>
  <c r="E9" i="1" s="1"/>
  <c r="J9" i="1" s="1"/>
  <c r="K9" i="1" l="1"/>
  <c r="L9" i="1" s="1"/>
</calcChain>
</file>

<file path=xl/sharedStrings.xml><?xml version="1.0" encoding="utf-8"?>
<sst xmlns="http://schemas.openxmlformats.org/spreadsheetml/2006/main" count="372" uniqueCount="140">
  <si>
    <t>CI-2414   Recuperación de Información</t>
  </si>
  <si>
    <t>Prof. Kryscia Daviana Ramírez Benavides</t>
  </si>
  <si>
    <t>Grupo 01</t>
  </si>
  <si>
    <t>Registro de Calificaciones</t>
  </si>
  <si>
    <t>Carné</t>
  </si>
  <si>
    <t>Quices</t>
  </si>
  <si>
    <t>% Quices</t>
  </si>
  <si>
    <t>Tareas</t>
  </si>
  <si>
    <t>% Tareas</t>
  </si>
  <si>
    <t>Nota Inv.</t>
  </si>
  <si>
    <t>% Inv.</t>
  </si>
  <si>
    <t>Nota Proy.</t>
  </si>
  <si>
    <t>% Proyecto</t>
  </si>
  <si>
    <t>Nota</t>
  </si>
  <si>
    <t>Nota Final</t>
  </si>
  <si>
    <t>Condicción</t>
  </si>
  <si>
    <t>Quiz 1</t>
  </si>
  <si>
    <t>Quiz 2</t>
  </si>
  <si>
    <t>Quiz 3</t>
  </si>
  <si>
    <t>Quiz 4</t>
  </si>
  <si>
    <t>Quiz 5</t>
  </si>
  <si>
    <t>Promedio Quices</t>
  </si>
  <si>
    <t>Tarea 1</t>
  </si>
  <si>
    <t>Tarea 2</t>
  </si>
  <si>
    <t>Tarea 3</t>
  </si>
  <si>
    <t>Tarea 4</t>
  </si>
  <si>
    <t>Tarea 5</t>
  </si>
  <si>
    <t>Tarea 6</t>
  </si>
  <si>
    <t>Promedio Tareas</t>
  </si>
  <si>
    <t>Investigación</t>
  </si>
  <si>
    <t>Exposición</t>
  </si>
  <si>
    <t>Evaluaciones</t>
  </si>
  <si>
    <t>Promedio Inv.</t>
  </si>
  <si>
    <t>Asistencia y Evaluación a las Exposiciones</t>
  </si>
  <si>
    <t>Exp. 1</t>
  </si>
  <si>
    <t>Exp. 2</t>
  </si>
  <si>
    <t>Exp. 3</t>
  </si>
  <si>
    <t>Exp. 4</t>
  </si>
  <si>
    <t>Proyecto</t>
  </si>
  <si>
    <t>Etapa I</t>
  </si>
  <si>
    <t>Prom. Etapa I</t>
  </si>
  <si>
    <t>Etapa II</t>
  </si>
  <si>
    <t>Prom. Etapa II</t>
  </si>
  <si>
    <t>Etapa III</t>
  </si>
  <si>
    <t>Prom. Etapa III</t>
  </si>
  <si>
    <t>Etapa IV</t>
  </si>
  <si>
    <t>Prom. Etapa IV</t>
  </si>
  <si>
    <t>Extra</t>
  </si>
  <si>
    <t>Promedio Proy.</t>
  </si>
  <si>
    <t>Asignación y Calendarización de la Investigación</t>
  </si>
  <si>
    <t>Fecha de Exposición</t>
  </si>
  <si>
    <t>Tema</t>
  </si>
  <si>
    <t>Expositores</t>
  </si>
  <si>
    <t>Otros SRI: Yahoo y Bing (Kumo), y comparación con Google (teoría)</t>
  </si>
  <si>
    <t>Aplicación - Crawler</t>
  </si>
  <si>
    <t>Aplicación - Analizador léxico</t>
  </si>
  <si>
    <t>Aplicación - Algoritmos de similaridad y distancia:</t>
  </si>
  <si>
    <r>
      <t>·</t>
    </r>
    <r>
      <rPr>
        <sz val="10"/>
        <rFont val="Times New Roman"/>
        <family val="1"/>
      </rPr>
      <t>      Distancia de Hamming</t>
    </r>
  </si>
  <si>
    <r>
      <t>·</t>
    </r>
    <r>
      <rPr>
        <sz val="10"/>
        <rFont val="Times New Roman"/>
        <family val="1"/>
      </rPr>
      <t>      Distancia de Levenstein</t>
    </r>
  </si>
  <si>
    <r>
      <t>·</t>
    </r>
    <r>
      <rPr>
        <sz val="10"/>
        <rFont val="Times New Roman"/>
        <family val="1"/>
      </rPr>
      <t>      Bigramas</t>
    </r>
  </si>
  <si>
    <t>Aplicación - Lematizador:</t>
  </si>
  <si>
    <r>
      <t>·</t>
    </r>
    <r>
      <rPr>
        <sz val="10"/>
        <rFont val="Times New Roman"/>
        <family val="1"/>
      </rPr>
      <t>      Porter</t>
    </r>
  </si>
  <si>
    <r>
      <t>·</t>
    </r>
    <r>
      <rPr>
        <sz val="10"/>
        <rFont val="Times New Roman"/>
        <family val="1"/>
      </rPr>
      <t>      Variedad de sucesores</t>
    </r>
  </si>
  <si>
    <t>Aplicación - Clustering:</t>
  </si>
  <si>
    <r>
      <t>·</t>
    </r>
    <r>
      <rPr>
        <sz val="10"/>
        <rFont val="Times New Roman"/>
        <family val="1"/>
      </rPr>
      <t>      K-Means</t>
    </r>
  </si>
  <si>
    <r>
      <t>·</t>
    </r>
    <r>
      <rPr>
        <sz val="10"/>
        <rFont val="Times New Roman"/>
        <family val="1"/>
      </rPr>
      <t>      HAC</t>
    </r>
  </si>
  <si>
    <t>Aplicación - Visualizador de texto:</t>
  </si>
  <si>
    <r>
      <t>·</t>
    </r>
    <r>
      <rPr>
        <sz val="10"/>
        <rFont val="Times New Roman"/>
        <family val="1"/>
      </rPr>
      <t>      Tree Map</t>
    </r>
  </si>
  <si>
    <t>Aplicación - Compresor:</t>
  </si>
  <si>
    <r>
      <t>·</t>
    </r>
    <r>
      <rPr>
        <sz val="10"/>
        <rFont val="Times New Roman"/>
        <family val="1"/>
      </rPr>
      <t>      Huffman orientado a bytes</t>
    </r>
  </si>
  <si>
    <t>Aplicación - Filtrador de Documentos (teoría y ejemplos)</t>
  </si>
  <si>
    <t>Aplicación - Sumarización (teoría y ejemplos)</t>
  </si>
  <si>
    <r>
      <t>·</t>
    </r>
    <r>
      <rPr>
        <sz val="10"/>
        <rFont val="Times New Roman"/>
        <family val="1"/>
      </rPr>
      <t>      Algoritmo Extractor</t>
    </r>
  </si>
  <si>
    <t>Optimización en Buscadores (SEO: Search Engine Optimization)</t>
  </si>
  <si>
    <r>
      <t>·</t>
    </r>
    <r>
      <rPr>
        <sz val="10"/>
        <rFont val="Times New Roman"/>
        <family val="1"/>
      </rPr>
      <t>      Teoría</t>
    </r>
  </si>
  <si>
    <r>
      <t>·</t>
    </r>
    <r>
      <rPr>
        <sz val="10"/>
        <rFont val="Times New Roman"/>
        <family val="1"/>
      </rPr>
      <t>      Ejemplos</t>
    </r>
  </si>
  <si>
    <t>RI Multimedia (sonidos, imágenes, videos)</t>
  </si>
  <si>
    <t>Grupos de Proyecto</t>
  </si>
  <si>
    <t>Integrantes</t>
  </si>
  <si>
    <t>AAAAABP//MY=</t>
  </si>
  <si>
    <t>AAAAABP//Mc=</t>
  </si>
  <si>
    <t>AAAAAG9OcQA=</t>
  </si>
  <si>
    <t>AAAAAH/mPwA=</t>
  </si>
  <si>
    <t>AAAAAHYfrwA=</t>
  </si>
  <si>
    <t>AAAAAD+76gA=</t>
  </si>
  <si>
    <t>AAAAAHrvHQA=</t>
  </si>
  <si>
    <t>AAAAAGnu/wA=</t>
  </si>
  <si>
    <t>AAAAADfZ/QA=</t>
  </si>
  <si>
    <t>AAAAAHff+gA=</t>
  </si>
  <si>
    <t>AAAAAH9U7gA=</t>
  </si>
  <si>
    <t>AAAAAE/45QA=</t>
  </si>
  <si>
    <t>AAAAAF7/zwA=</t>
  </si>
  <si>
    <t>T1 - Autoevaluación y Coevaluación</t>
  </si>
  <si>
    <t>E1</t>
  </si>
  <si>
    <t>E2</t>
  </si>
  <si>
    <t>E3</t>
  </si>
  <si>
    <t>E4</t>
  </si>
  <si>
    <t>Promedio</t>
  </si>
  <si>
    <t>T2 - Autoevaluación y Coevaluación</t>
  </si>
  <si>
    <t>T3 - Autoevaluación y Coevaluación</t>
  </si>
  <si>
    <t>T4 - Autoevaluación y Coevaluación</t>
  </si>
  <si>
    <t>T5 - Autoevaluación y Coevaluación</t>
  </si>
  <si>
    <t>T6 - Autoevaluación y Coevaluación</t>
  </si>
  <si>
    <t>AE&amp;CE</t>
  </si>
  <si>
    <t>Prom.T1</t>
  </si>
  <si>
    <t>Prom.T6</t>
  </si>
  <si>
    <t>Prom.T2</t>
  </si>
  <si>
    <t>Prom.T3</t>
  </si>
  <si>
    <t>Prom.T4</t>
  </si>
  <si>
    <t>Prom.T5</t>
  </si>
  <si>
    <t>Autoevaluación y Coevaluación</t>
  </si>
  <si>
    <t>Etapa I - Autoevaluación y Coevaluación</t>
  </si>
  <si>
    <t>Etapa IV - Autoevaluación y Coevaluación</t>
  </si>
  <si>
    <t>Etapa III - Autoevaluación y Coevaluación</t>
  </si>
  <si>
    <t>Etapa II - Autoevaluación y Coevaluación</t>
  </si>
  <si>
    <t>Nombre del Equipo</t>
  </si>
  <si>
    <t>Nombre del SRI</t>
  </si>
  <si>
    <t>Material Visual</t>
  </si>
  <si>
    <t>Nº EC</t>
  </si>
  <si>
    <t>Asist. Diana Arias Quesada</t>
  </si>
  <si>
    <t>Ciclo Lecivo I-2020</t>
  </si>
  <si>
    <t>A85036</t>
  </si>
  <si>
    <t xml:space="preserve">QUIROS MONTERO JOSE FERNANDO  </t>
  </si>
  <si>
    <t>B21910</t>
  </si>
  <si>
    <t xml:space="preserve">CHAVES SEQUEIRA JOEL HORACIO  </t>
  </si>
  <si>
    <t>B30210</t>
  </si>
  <si>
    <t xml:space="preserve">ALFARO QUIROS JOSE ALBERTO  </t>
  </si>
  <si>
    <t>B44007</t>
  </si>
  <si>
    <t xml:space="preserve">MARIN MONTERO JOSE DANIEL  </t>
  </si>
  <si>
    <t>B44799</t>
  </si>
  <si>
    <t xml:space="preserve">MUÑOZ RODRIGUEZ YOHEL  </t>
  </si>
  <si>
    <t>B54714</t>
  </si>
  <si>
    <t xml:space="preserve">MORA JIMENEZ LUIS DIEGO  </t>
  </si>
  <si>
    <t>B65970</t>
  </si>
  <si>
    <t xml:space="preserve">RODRIGUEZ BUJAN CHRISTIAN ROBERTO  </t>
  </si>
  <si>
    <t>B66384</t>
  </si>
  <si>
    <t xml:space="preserve">RUIZ HERRERA JAVIER ANDRES  </t>
  </si>
  <si>
    <t>Los carroñeros</t>
  </si>
  <si>
    <t>Spider-Men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</si>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</sst>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Symbol"/>
      <family val="1"/>
      <charset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6" borderId="3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/>
    <xf numFmtId="0" fontId="1" fillId="0" borderId="0" xfId="0" applyFont="1"/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2" fontId="5" fillId="7" borderId="3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6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horizontal="center"/>
    </xf>
    <xf numFmtId="2" fontId="4" fillId="4" borderId="13" xfId="0" applyNumberFormat="1" applyFont="1" applyFill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0" fillId="0" borderId="0" xfId="0" applyNumberFormat="1"/>
    <xf numFmtId="0" fontId="7" fillId="0" borderId="1" xfId="1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16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16" fontId="4" fillId="0" borderId="1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Texto explicativ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H29" sqref="H29"/>
    </sheetView>
  </sheetViews>
  <sheetFormatPr baseColWidth="10" defaultColWidth="10.6640625" defaultRowHeight="12.75" x14ac:dyDescent="0.35"/>
  <cols>
    <col min="1" max="1" width="8.73046875" customWidth="1"/>
    <col min="2" max="11" width="10.73046875" customWidth="1"/>
    <col min="12" max="12" width="13.73046875" customWidth="1"/>
    <col min="13" max="13" width="26" customWidth="1"/>
    <col min="14" max="252" width="9.06640625" customWidth="1"/>
  </cols>
  <sheetData>
    <row r="1" spans="1:13" ht="15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5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15" x14ac:dyDescent="0.4">
      <c r="A3" s="52" t="s">
        <v>119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3" ht="15" x14ac:dyDescent="0.4">
      <c r="A4" s="52" t="s">
        <v>120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3" ht="15" x14ac:dyDescent="0.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3" ht="15" x14ac:dyDescent="0.4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3.15" x14ac:dyDescent="0.4">
      <c r="A7" s="1"/>
      <c r="B7" s="2"/>
      <c r="C7" s="2"/>
      <c r="D7" s="3"/>
      <c r="E7" s="3"/>
      <c r="F7" s="3"/>
      <c r="G7" s="3"/>
      <c r="H7" s="3"/>
      <c r="I7" s="3"/>
    </row>
    <row r="8" spans="1:13" x14ac:dyDescent="0.3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5"/>
    </row>
    <row r="9" spans="1:13" ht="13.15" x14ac:dyDescent="0.4">
      <c r="A9" s="6" t="s">
        <v>125</v>
      </c>
      <c r="B9" s="8">
        <f ca="1">CELL("contents",Quices!G6)</f>
        <v>99.2</v>
      </c>
      <c r="C9" s="9">
        <f ca="1">B9*0.1</f>
        <v>9.9200000000000017</v>
      </c>
      <c r="D9" s="8">
        <f ca="1">CELL("contents",Tareas!T6)</f>
        <v>98.333402777777792</v>
      </c>
      <c r="E9" s="9">
        <f ca="1">D9*0.1</f>
        <v>9.8333402777777792</v>
      </c>
      <c r="F9" s="8">
        <f ca="1">CELL("contents",Investigación!F6)</f>
        <v>99.625</v>
      </c>
      <c r="G9" s="9">
        <f ca="1">F9*0.4</f>
        <v>39.85</v>
      </c>
      <c r="H9" s="8">
        <f ca="1">CELL("contents",Proyecto!O6)</f>
        <v>99.027777777777771</v>
      </c>
      <c r="I9" s="9">
        <f ca="1">H9*0.4</f>
        <v>39.611111111111114</v>
      </c>
      <c r="J9" s="10">
        <f ca="1">C9+E9+G9+I9</f>
        <v>99.214451388888904</v>
      </c>
      <c r="K9" s="11">
        <f ca="1">IF(((J9*0.1)-INT(J9*0.1))&gt;=0.25,IF(((J9*0.1)-INT(J9*0.1))&lt;=0.5,CEILING(J9,5),IF(((J9*0.1)-INT(J9*0.1))&gt;=0.75,CEILING(J9,5),FLOOR(J9,5))),FLOOR(J9,5))</f>
        <v>100</v>
      </c>
      <c r="L9" s="11" t="str">
        <f ca="1">IF(K9&gt;=67.5,"APROBADO",IF(K9&gt;=57.5,"AMPLIACION","REPROBADO"))</f>
        <v>APROBADO</v>
      </c>
      <c r="M9" s="12"/>
    </row>
    <row r="10" spans="1:13" ht="13.15" x14ac:dyDescent="0.4">
      <c r="A10" s="6" t="s">
        <v>123</v>
      </c>
      <c r="B10" s="8">
        <f ca="1">CELL("contents",Quices!G7)</f>
        <v>99.2</v>
      </c>
      <c r="C10" s="9">
        <f t="shared" ref="C10:C16" ca="1" si="0">B10*0.1</f>
        <v>9.9200000000000017</v>
      </c>
      <c r="D10" s="8">
        <f ca="1">CELL("contents",Tareas!T7)</f>
        <v>98.8888888888889</v>
      </c>
      <c r="E10" s="9">
        <f t="shared" ref="E10:E16" ca="1" si="1">D10*0.1</f>
        <v>9.8888888888888911</v>
      </c>
      <c r="F10" s="8">
        <f ca="1">CELL("contents",Investigación!F7)</f>
        <v>98.75</v>
      </c>
      <c r="G10" s="9">
        <f t="shared" ref="G10:G16" ca="1" si="2">F10*0.4</f>
        <v>39.5</v>
      </c>
      <c r="H10" s="8">
        <f ca="1">CELL("contents",Proyecto!O7)</f>
        <v>98.4375</v>
      </c>
      <c r="I10" s="9">
        <f t="shared" ref="I10:I16" ca="1" si="3">H10*0.4</f>
        <v>39.375</v>
      </c>
      <c r="J10" s="10">
        <f t="shared" ref="J10:J16" ca="1" si="4">C10+E10+G10+I10</f>
        <v>98.683888888888902</v>
      </c>
      <c r="K10" s="11">
        <f t="shared" ref="K10:K16" ca="1" si="5">IF(((J10*0.1)-INT(J10*0.1))&gt;=0.25,IF(((J10*0.1)-INT(J10*0.1))&lt;=0.5,CEILING(J10,5),IF(((J10*0.1)-INT(J10*0.1))&gt;=0.75,CEILING(J10,5),FLOOR(J10,5))),FLOOR(J10,5))</f>
        <v>100</v>
      </c>
      <c r="L10" s="11" t="str">
        <f t="shared" ref="L10:L16" ca="1" si="6">IF(K10&gt;=67.5,"APROBADO",IF(K10&gt;=57.5,"AMPLIACION","REPROBADO"))</f>
        <v>APROBADO</v>
      </c>
      <c r="M10" s="12"/>
    </row>
    <row r="11" spans="1:13" ht="13.15" x14ac:dyDescent="0.4">
      <c r="A11" s="6" t="s">
        <v>127</v>
      </c>
      <c r="B11" s="8">
        <f ca="1">CELL("contents",Quices!G8)</f>
        <v>99.2</v>
      </c>
      <c r="C11" s="9">
        <f t="shared" ca="1" si="0"/>
        <v>9.9200000000000017</v>
      </c>
      <c r="D11" s="8">
        <f ca="1">CELL("contents",Tareas!T8)</f>
        <v>99.097222222222229</v>
      </c>
      <c r="E11" s="9">
        <f t="shared" ca="1" si="1"/>
        <v>9.9097222222222232</v>
      </c>
      <c r="F11" s="8">
        <f ca="1">CELL("contents",Investigación!F8)</f>
        <v>98.25</v>
      </c>
      <c r="G11" s="9">
        <f t="shared" ca="1" si="2"/>
        <v>39.300000000000004</v>
      </c>
      <c r="H11" s="8">
        <f ca="1">CELL("contents",Proyecto!O8)</f>
        <v>98.229166666666657</v>
      </c>
      <c r="I11" s="9">
        <f t="shared" ca="1" si="3"/>
        <v>39.291666666666664</v>
      </c>
      <c r="J11" s="10">
        <f t="shared" ca="1" si="4"/>
        <v>98.421388888888885</v>
      </c>
      <c r="K11" s="11">
        <f t="shared" ca="1" si="5"/>
        <v>100</v>
      </c>
      <c r="L11" s="11" t="str">
        <f t="shared" ca="1" si="6"/>
        <v>APROBADO</v>
      </c>
      <c r="M11" s="12"/>
    </row>
    <row r="12" spans="1:13" ht="13.15" x14ac:dyDescent="0.4">
      <c r="A12" s="6" t="s">
        <v>131</v>
      </c>
      <c r="B12" s="8">
        <f ca="1">CELL("contents",Quices!G9)</f>
        <v>96.6</v>
      </c>
      <c r="C12" s="9">
        <f t="shared" ca="1" si="0"/>
        <v>9.66</v>
      </c>
      <c r="D12" s="8">
        <f ca="1">CELL("contents",Tareas!T9)</f>
        <v>98.916666666666671</v>
      </c>
      <c r="E12" s="9">
        <f t="shared" ca="1" si="1"/>
        <v>9.8916666666666675</v>
      </c>
      <c r="F12" s="8">
        <f ca="1">CELL("contents",Investigación!F9)</f>
        <v>100</v>
      </c>
      <c r="G12" s="9">
        <f t="shared" ca="1" si="2"/>
        <v>40</v>
      </c>
      <c r="H12" s="8">
        <f ca="1">CELL("contents",Proyecto!O9)</f>
        <v>99.75</v>
      </c>
      <c r="I12" s="9">
        <f t="shared" ca="1" si="3"/>
        <v>39.900000000000006</v>
      </c>
      <c r="J12" s="10">
        <f t="shared" ca="1" si="4"/>
        <v>99.451666666666682</v>
      </c>
      <c r="K12" s="11">
        <f t="shared" ca="1" si="5"/>
        <v>100</v>
      </c>
      <c r="L12" s="11" t="str">
        <f t="shared" ca="1" si="6"/>
        <v>APROBADO</v>
      </c>
      <c r="M12" s="12"/>
    </row>
    <row r="13" spans="1:13" ht="13.15" x14ac:dyDescent="0.4">
      <c r="A13" s="6" t="s">
        <v>129</v>
      </c>
      <c r="B13" s="8">
        <f ca="1">CELL("contents",Quices!G10)</f>
        <v>96.6</v>
      </c>
      <c r="C13" s="9">
        <f t="shared" ca="1" si="0"/>
        <v>9.66</v>
      </c>
      <c r="D13" s="8">
        <f ca="1">CELL("contents",Tareas!T10)</f>
        <v>98.430486111111108</v>
      </c>
      <c r="E13" s="9">
        <f t="shared" ca="1" si="1"/>
        <v>9.8430486111111115</v>
      </c>
      <c r="F13" s="8">
        <f ca="1">CELL("contents",Investigación!F10)</f>
        <v>98</v>
      </c>
      <c r="G13" s="9">
        <f t="shared" ca="1" si="2"/>
        <v>39.200000000000003</v>
      </c>
      <c r="H13" s="8">
        <f ca="1">CELL("contents",Proyecto!O10)</f>
        <v>98.5</v>
      </c>
      <c r="I13" s="9">
        <f t="shared" ca="1" si="3"/>
        <v>39.400000000000006</v>
      </c>
      <c r="J13" s="10">
        <f t="shared" ca="1" si="4"/>
        <v>98.10304861111112</v>
      </c>
      <c r="K13" s="11">
        <f t="shared" ca="1" si="5"/>
        <v>100</v>
      </c>
      <c r="L13" s="11" t="str">
        <f t="shared" ca="1" si="6"/>
        <v>APROBADO</v>
      </c>
      <c r="M13" s="12"/>
    </row>
    <row r="14" spans="1:13" ht="13.15" x14ac:dyDescent="0.4">
      <c r="A14" s="6" t="s">
        <v>121</v>
      </c>
      <c r="B14" s="8">
        <f ca="1">CELL("contents",Quices!G11)</f>
        <v>99.2</v>
      </c>
      <c r="C14" s="9">
        <f t="shared" ca="1" si="0"/>
        <v>9.9200000000000017</v>
      </c>
      <c r="D14" s="8">
        <f ca="1">CELL("contents",Tareas!T11)</f>
        <v>99.097222222222229</v>
      </c>
      <c r="E14" s="9">
        <f t="shared" ca="1" si="1"/>
        <v>9.9097222222222232</v>
      </c>
      <c r="F14" s="8">
        <f ca="1">CELL("contents",Investigación!F11)</f>
        <v>100</v>
      </c>
      <c r="G14" s="9">
        <f t="shared" ca="1" si="2"/>
        <v>40</v>
      </c>
      <c r="H14" s="8">
        <f ca="1">CELL("contents",Proyecto!O11)</f>
        <v>99.375</v>
      </c>
      <c r="I14" s="9">
        <f t="shared" ca="1" si="3"/>
        <v>39.75</v>
      </c>
      <c r="J14" s="10">
        <f t="shared" ca="1" si="4"/>
        <v>99.579722222222216</v>
      </c>
      <c r="K14" s="11">
        <f t="shared" ca="1" si="5"/>
        <v>100</v>
      </c>
      <c r="L14" s="11" t="str">
        <f t="shared" ca="1" si="6"/>
        <v>APROBADO</v>
      </c>
    </row>
    <row r="15" spans="1:13" ht="13.15" x14ac:dyDescent="0.4">
      <c r="A15" s="6" t="s">
        <v>133</v>
      </c>
      <c r="B15" s="8">
        <f ca="1">CELL("contents",Quices!G12)</f>
        <v>96.6</v>
      </c>
      <c r="C15" s="9">
        <f t="shared" ca="1" si="0"/>
        <v>9.66</v>
      </c>
      <c r="D15" s="8">
        <f ca="1">CELL("contents",Tareas!T12)</f>
        <v>98.847291666666663</v>
      </c>
      <c r="E15" s="9">
        <f t="shared" ca="1" si="1"/>
        <v>9.8847291666666663</v>
      </c>
      <c r="F15" s="8">
        <f ca="1">CELL("contents",Investigación!F12)</f>
        <v>99.25</v>
      </c>
      <c r="G15" s="9">
        <f t="shared" ca="1" si="2"/>
        <v>39.700000000000003</v>
      </c>
      <c r="H15" s="8">
        <f ca="1">CELL("contents",Proyecto!O12)</f>
        <v>99.541666666666657</v>
      </c>
      <c r="I15" s="9">
        <f t="shared" ca="1" si="3"/>
        <v>39.816666666666663</v>
      </c>
      <c r="J15" s="10">
        <f t="shared" ca="1" si="4"/>
        <v>99.061395833333336</v>
      </c>
      <c r="K15" s="11">
        <f t="shared" ca="1" si="5"/>
        <v>100</v>
      </c>
      <c r="L15" s="11" t="str">
        <f t="shared" ca="1" si="6"/>
        <v>APROBADO</v>
      </c>
      <c r="M15" s="12"/>
    </row>
    <row r="16" spans="1:13" ht="13.15" x14ac:dyDescent="0.4">
      <c r="A16" s="6" t="s">
        <v>135</v>
      </c>
      <c r="B16" s="8">
        <f ca="1">CELL("contents",Quices!G13)</f>
        <v>96.6</v>
      </c>
      <c r="C16" s="9">
        <f t="shared" ca="1" si="0"/>
        <v>9.66</v>
      </c>
      <c r="D16" s="8">
        <f ca="1">CELL("contents",Tareas!T13)</f>
        <v>98.916666666666671</v>
      </c>
      <c r="E16" s="9">
        <f t="shared" ca="1" si="1"/>
        <v>9.8916666666666675</v>
      </c>
      <c r="F16" s="8">
        <f ca="1">CELL("contents",Investigación!F13)</f>
        <v>99.25</v>
      </c>
      <c r="G16" s="9">
        <f t="shared" ca="1" si="2"/>
        <v>39.700000000000003</v>
      </c>
      <c r="H16" s="8">
        <f ca="1">CELL("contents",Proyecto!O13)</f>
        <v>99.645833333333343</v>
      </c>
      <c r="I16" s="9">
        <f t="shared" ca="1" si="3"/>
        <v>39.858333333333341</v>
      </c>
      <c r="J16" s="10">
        <f t="shared" ca="1" si="4"/>
        <v>99.110000000000014</v>
      </c>
      <c r="K16" s="11">
        <f t="shared" ca="1" si="5"/>
        <v>100</v>
      </c>
      <c r="L16" s="11" t="str">
        <f t="shared" ca="1" si="6"/>
        <v>APROBADO</v>
      </c>
    </row>
  </sheetData>
  <sheetProtection selectLockedCells="1" selectUnlockedCells="1"/>
  <mergeCells count="6">
    <mergeCell ref="A6:L6"/>
    <mergeCell ref="A1:L1"/>
    <mergeCell ref="A2:L2"/>
    <mergeCell ref="A3:L3"/>
    <mergeCell ref="A4:L4"/>
    <mergeCell ref="A5:L5"/>
  </mergeCells>
  <pageMargins left="0.19685039370078741" right="0.19685039370078741" top="0.19685039370078741" bottom="0.19685039370078741" header="0.11811023622047245" footer="0.11811023622047245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pane xSplit="1" ySplit="5" topLeftCell="B6" activePane="bottomRight" state="frozen"/>
      <selection pane="topRight" activeCell="H1" sqref="H1"/>
      <selection pane="bottomLeft" activeCell="A9" sqref="A9"/>
      <selection pane="bottomRight" activeCell="F9" sqref="F9"/>
    </sheetView>
  </sheetViews>
  <sheetFormatPr baseColWidth="10" defaultColWidth="10.6640625" defaultRowHeight="12.75" x14ac:dyDescent="0.35"/>
  <cols>
    <col min="1" max="6" width="8.73046875" customWidth="1"/>
    <col min="7" max="7" width="15.73046875" customWidth="1"/>
    <col min="8" max="248" width="9.06640625" customWidth="1"/>
  </cols>
  <sheetData>
    <row r="1" spans="1:9" ht="15" x14ac:dyDescent="0.4">
      <c r="A1" s="52" t="s">
        <v>0</v>
      </c>
      <c r="B1" s="52"/>
      <c r="C1" s="52"/>
      <c r="D1" s="52"/>
      <c r="E1" s="52"/>
      <c r="F1" s="52"/>
      <c r="G1" s="52"/>
    </row>
    <row r="2" spans="1:9" ht="15" x14ac:dyDescent="0.4">
      <c r="A2" s="52" t="s">
        <v>1</v>
      </c>
      <c r="B2" s="52"/>
      <c r="C2" s="52"/>
      <c r="D2" s="52"/>
      <c r="E2" s="52"/>
      <c r="F2" s="52"/>
      <c r="G2" s="52"/>
    </row>
    <row r="3" spans="1:9" ht="15" x14ac:dyDescent="0.4">
      <c r="A3" s="51" t="s">
        <v>5</v>
      </c>
      <c r="B3" s="51"/>
      <c r="C3" s="51"/>
      <c r="D3" s="51"/>
      <c r="E3" s="51"/>
      <c r="F3" s="51"/>
      <c r="G3" s="51"/>
    </row>
    <row r="4" spans="1:9" ht="13.15" x14ac:dyDescent="0.4">
      <c r="A4" s="1"/>
      <c r="B4" s="2"/>
      <c r="C4" s="2"/>
      <c r="D4" s="13"/>
      <c r="E4" s="13"/>
      <c r="F4" s="13"/>
      <c r="G4" s="2"/>
    </row>
    <row r="5" spans="1:9" x14ac:dyDescent="0.35">
      <c r="A5" s="4" t="s">
        <v>4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</row>
    <row r="6" spans="1:9" ht="13.15" x14ac:dyDescent="0.4">
      <c r="A6" s="6" t="s">
        <v>125</v>
      </c>
      <c r="B6" s="43">
        <v>100</v>
      </c>
      <c r="C6" s="43">
        <v>100</v>
      </c>
      <c r="D6" s="43">
        <v>100</v>
      </c>
      <c r="E6" s="43">
        <v>96</v>
      </c>
      <c r="F6" s="43">
        <v>100</v>
      </c>
      <c r="G6" s="44">
        <f t="shared" ref="G6:G13" si="0">AVERAGE(B6:F6)</f>
        <v>99.2</v>
      </c>
      <c r="I6" s="50">
        <v>2</v>
      </c>
    </row>
    <row r="7" spans="1:9" ht="13.15" x14ac:dyDescent="0.4">
      <c r="A7" s="6" t="s">
        <v>123</v>
      </c>
      <c r="B7" s="43">
        <v>100</v>
      </c>
      <c r="C7" s="43">
        <v>100</v>
      </c>
      <c r="D7" s="43">
        <v>100</v>
      </c>
      <c r="E7" s="43">
        <v>96</v>
      </c>
      <c r="F7" s="43">
        <v>100</v>
      </c>
      <c r="G7" s="44">
        <f t="shared" si="0"/>
        <v>99.2</v>
      </c>
      <c r="I7" s="50">
        <v>2</v>
      </c>
    </row>
    <row r="8" spans="1:9" ht="13.15" x14ac:dyDescent="0.4">
      <c r="A8" s="6" t="s">
        <v>127</v>
      </c>
      <c r="B8" s="43">
        <v>100</v>
      </c>
      <c r="C8" s="43">
        <v>100</v>
      </c>
      <c r="D8" s="43">
        <v>100</v>
      </c>
      <c r="E8" s="43">
        <v>96</v>
      </c>
      <c r="F8" s="43">
        <v>100</v>
      </c>
      <c r="G8" s="44">
        <f t="shared" si="0"/>
        <v>99.2</v>
      </c>
      <c r="I8" s="50">
        <v>2</v>
      </c>
    </row>
    <row r="9" spans="1:9" ht="13.15" x14ac:dyDescent="0.4">
      <c r="A9" s="6" t="s">
        <v>131</v>
      </c>
      <c r="B9" s="43">
        <v>100</v>
      </c>
      <c r="C9" s="43">
        <v>100</v>
      </c>
      <c r="D9" s="43">
        <v>100</v>
      </c>
      <c r="E9" s="43">
        <v>83</v>
      </c>
      <c r="F9" s="43">
        <v>100</v>
      </c>
      <c r="G9" s="44">
        <f t="shared" si="0"/>
        <v>96.6</v>
      </c>
      <c r="I9" s="50">
        <v>1</v>
      </c>
    </row>
    <row r="10" spans="1:9" ht="13.15" x14ac:dyDescent="0.4">
      <c r="A10" s="6" t="s">
        <v>129</v>
      </c>
      <c r="B10" s="43">
        <v>100</v>
      </c>
      <c r="C10" s="43">
        <v>100</v>
      </c>
      <c r="D10" s="43">
        <v>100</v>
      </c>
      <c r="E10" s="43">
        <v>83</v>
      </c>
      <c r="F10" s="43">
        <v>100</v>
      </c>
      <c r="G10" s="44">
        <f t="shared" si="0"/>
        <v>96.6</v>
      </c>
      <c r="I10" s="50">
        <v>1</v>
      </c>
    </row>
    <row r="11" spans="1:9" ht="13.15" x14ac:dyDescent="0.4">
      <c r="A11" s="6" t="s">
        <v>121</v>
      </c>
      <c r="B11" s="43">
        <v>100</v>
      </c>
      <c r="C11" s="43">
        <v>100</v>
      </c>
      <c r="D11" s="43">
        <v>100</v>
      </c>
      <c r="E11" s="43">
        <v>96</v>
      </c>
      <c r="F11" s="43">
        <v>100</v>
      </c>
      <c r="G11" s="44">
        <f t="shared" si="0"/>
        <v>99.2</v>
      </c>
      <c r="I11" s="50">
        <v>2</v>
      </c>
    </row>
    <row r="12" spans="1:9" ht="13.15" x14ac:dyDescent="0.4">
      <c r="A12" s="6" t="s">
        <v>133</v>
      </c>
      <c r="B12" s="43">
        <v>100</v>
      </c>
      <c r="C12" s="43">
        <v>100</v>
      </c>
      <c r="D12" s="43">
        <v>100</v>
      </c>
      <c r="E12" s="43">
        <v>83</v>
      </c>
      <c r="F12" s="43">
        <v>100</v>
      </c>
      <c r="G12" s="44">
        <f t="shared" si="0"/>
        <v>96.6</v>
      </c>
      <c r="I12" s="50">
        <v>1</v>
      </c>
    </row>
    <row r="13" spans="1:9" ht="13.15" x14ac:dyDescent="0.4">
      <c r="A13" s="6" t="s">
        <v>135</v>
      </c>
      <c r="B13" s="43">
        <v>100</v>
      </c>
      <c r="C13" s="43">
        <v>100</v>
      </c>
      <c r="D13" s="43">
        <v>100</v>
      </c>
      <c r="E13" s="43">
        <v>83</v>
      </c>
      <c r="F13" s="43">
        <v>100</v>
      </c>
      <c r="G13" s="44">
        <f t="shared" si="0"/>
        <v>96.6</v>
      </c>
      <c r="I13" s="50">
        <v>1</v>
      </c>
    </row>
  </sheetData>
  <sheetProtection selectLockedCells="1" selectUnlockedCells="1"/>
  <mergeCells count="3">
    <mergeCell ref="A1:G1"/>
    <mergeCell ref="A2:G2"/>
    <mergeCell ref="A3:G3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workbookViewId="0">
      <pane xSplit="1" ySplit="5" topLeftCell="B6" activePane="bottomRight" state="frozen"/>
      <selection pane="topRight" activeCell="M1" sqref="M1"/>
      <selection pane="bottomLeft" activeCell="A9" sqref="A9"/>
      <selection pane="bottomRight" activeCell="C67" sqref="C67"/>
    </sheetView>
  </sheetViews>
  <sheetFormatPr baseColWidth="10" defaultColWidth="10.6640625" defaultRowHeight="12.75" x14ac:dyDescent="0.35"/>
  <cols>
    <col min="1" max="1" width="8.73046875" customWidth="1"/>
    <col min="2" max="19" width="7.73046875" customWidth="1"/>
    <col min="20" max="20" width="15.73046875" customWidth="1"/>
    <col min="21" max="255" width="9.06640625" customWidth="1"/>
  </cols>
  <sheetData>
    <row r="1" spans="1:22" ht="15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2" ht="15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2" ht="15" x14ac:dyDescent="0.4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2" ht="13.15" x14ac:dyDescent="0.4">
      <c r="A4" s="1"/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x14ac:dyDescent="0.35">
      <c r="A5" s="4" t="s">
        <v>4</v>
      </c>
      <c r="B5" s="4" t="s">
        <v>22</v>
      </c>
      <c r="C5" s="4" t="s">
        <v>103</v>
      </c>
      <c r="D5" s="4" t="s">
        <v>104</v>
      </c>
      <c r="E5" s="4" t="s">
        <v>23</v>
      </c>
      <c r="F5" s="4" t="s">
        <v>103</v>
      </c>
      <c r="G5" s="4" t="s">
        <v>106</v>
      </c>
      <c r="H5" s="4" t="s">
        <v>24</v>
      </c>
      <c r="I5" s="4" t="s">
        <v>103</v>
      </c>
      <c r="J5" s="4" t="s">
        <v>107</v>
      </c>
      <c r="K5" s="4" t="s">
        <v>25</v>
      </c>
      <c r="L5" s="4" t="s">
        <v>103</v>
      </c>
      <c r="M5" s="4" t="s">
        <v>108</v>
      </c>
      <c r="N5" s="4" t="s">
        <v>26</v>
      </c>
      <c r="O5" s="4" t="s">
        <v>103</v>
      </c>
      <c r="P5" s="4" t="s">
        <v>109</v>
      </c>
      <c r="Q5" s="4" t="s">
        <v>27</v>
      </c>
      <c r="R5" s="4" t="s">
        <v>103</v>
      </c>
      <c r="S5" s="4" t="s">
        <v>105</v>
      </c>
      <c r="T5" s="4" t="s">
        <v>28</v>
      </c>
    </row>
    <row r="6" spans="1:22" ht="13.15" x14ac:dyDescent="0.4">
      <c r="A6" s="6" t="s">
        <v>125</v>
      </c>
      <c r="B6" s="43">
        <v>100</v>
      </c>
      <c r="C6" s="14">
        <f t="shared" ref="C6:C13" si="0">F16</f>
        <v>94.166666666666671</v>
      </c>
      <c r="D6" s="15">
        <f>AVERAGE(B6:C6)</f>
        <v>97.083333333333343</v>
      </c>
      <c r="E6" s="43">
        <v>95</v>
      </c>
      <c r="F6" s="14">
        <f t="shared" ref="F6:F13" si="1">F26</f>
        <v>96.667500000000004</v>
      </c>
      <c r="G6" s="15">
        <f>AVERAGE(E6:F6)</f>
        <v>95.833750000000009</v>
      </c>
      <c r="H6" s="43">
        <v>100</v>
      </c>
      <c r="I6" s="14">
        <f t="shared" ref="I6:I13" si="2">F36</f>
        <v>100</v>
      </c>
      <c r="J6" s="15">
        <f>AVERAGE(H6:I6)</f>
        <v>100</v>
      </c>
      <c r="K6" s="43">
        <v>100</v>
      </c>
      <c r="L6" s="14">
        <f t="shared" ref="L6:L13" si="3">F46</f>
        <v>99.166666666666671</v>
      </c>
      <c r="M6" s="15">
        <f>AVERAGE(K6:L6)</f>
        <v>99.583333333333343</v>
      </c>
      <c r="N6" s="43">
        <v>95</v>
      </c>
      <c r="O6" s="14">
        <f t="shared" ref="O6:O13" si="4">F56</f>
        <v>100</v>
      </c>
      <c r="P6" s="15">
        <f>AVERAGE(N6:O6)</f>
        <v>97.5</v>
      </c>
      <c r="Q6" s="43">
        <v>100</v>
      </c>
      <c r="R6" s="14">
        <f t="shared" ref="R6:R13" si="5">F66</f>
        <v>100</v>
      </c>
      <c r="S6" s="15">
        <f>AVERAGE(Q6:R6)</f>
        <v>100</v>
      </c>
      <c r="T6" s="9">
        <f>AVERAGE(D6,G6,J6,M6,P6,S6)</f>
        <v>98.333402777777792</v>
      </c>
      <c r="V6" s="50">
        <v>2</v>
      </c>
    </row>
    <row r="7" spans="1:22" ht="13.15" x14ac:dyDescent="0.4">
      <c r="A7" s="6" t="s">
        <v>123</v>
      </c>
      <c r="B7" s="43">
        <v>100</v>
      </c>
      <c r="C7" s="14">
        <f t="shared" si="0"/>
        <v>99.166666666666671</v>
      </c>
      <c r="D7" s="15">
        <f>AVERAGE(B7:C7)</f>
        <v>99.583333333333343</v>
      </c>
      <c r="E7" s="43">
        <v>95</v>
      </c>
      <c r="F7" s="14">
        <f t="shared" si="1"/>
        <v>97.5</v>
      </c>
      <c r="G7" s="15">
        <f>AVERAGE(E7:F7)</f>
        <v>96.25</v>
      </c>
      <c r="H7" s="43">
        <v>100</v>
      </c>
      <c r="I7" s="14">
        <f t="shared" si="2"/>
        <v>100</v>
      </c>
      <c r="J7" s="15">
        <f>AVERAGE(H7:I7)</f>
        <v>100</v>
      </c>
      <c r="K7" s="43">
        <v>100</v>
      </c>
      <c r="L7" s="14">
        <f t="shared" si="3"/>
        <v>100</v>
      </c>
      <c r="M7" s="15">
        <f>AVERAGE(K7:L7)</f>
        <v>100</v>
      </c>
      <c r="N7" s="43">
        <v>95</v>
      </c>
      <c r="O7" s="14">
        <f t="shared" si="4"/>
        <v>100</v>
      </c>
      <c r="P7" s="15">
        <f>AVERAGE(N7:O7)</f>
        <v>97.5</v>
      </c>
      <c r="Q7" s="43">
        <v>100</v>
      </c>
      <c r="R7" s="14">
        <f t="shared" si="5"/>
        <v>100</v>
      </c>
      <c r="S7" s="15">
        <f>AVERAGE(Q7:R7)</f>
        <v>100</v>
      </c>
      <c r="T7" s="9">
        <f>AVERAGE(D7,G7,J7,M7,P7,S7)</f>
        <v>98.8888888888889</v>
      </c>
      <c r="V7" s="50">
        <v>2</v>
      </c>
    </row>
    <row r="8" spans="1:22" ht="13.15" x14ac:dyDescent="0.4">
      <c r="A8" s="6" t="s">
        <v>127</v>
      </c>
      <c r="B8" s="43">
        <v>100</v>
      </c>
      <c r="C8" s="14">
        <f t="shared" si="0"/>
        <v>99.166666666666671</v>
      </c>
      <c r="D8" s="15">
        <f t="shared" ref="D8:D13" si="6">AVERAGE(B8:C8)</f>
        <v>99.583333333333343</v>
      </c>
      <c r="E8" s="43">
        <v>95</v>
      </c>
      <c r="F8" s="14">
        <f t="shared" si="1"/>
        <v>100</v>
      </c>
      <c r="G8" s="15">
        <f t="shared" ref="G8:G13" si="7">AVERAGE(E8:F8)</f>
        <v>97.5</v>
      </c>
      <c r="H8" s="43">
        <v>100</v>
      </c>
      <c r="I8" s="14">
        <f t="shared" si="2"/>
        <v>100</v>
      </c>
      <c r="J8" s="15">
        <f t="shared" ref="J8:J13" si="8">AVERAGE(H8:I8)</f>
        <v>100</v>
      </c>
      <c r="K8" s="43">
        <v>100</v>
      </c>
      <c r="L8" s="14">
        <f t="shared" si="3"/>
        <v>100</v>
      </c>
      <c r="M8" s="15">
        <f t="shared" ref="M8:M13" si="9">AVERAGE(K8:L8)</f>
        <v>100</v>
      </c>
      <c r="N8" s="43">
        <v>95</v>
      </c>
      <c r="O8" s="14">
        <f t="shared" si="4"/>
        <v>100</v>
      </c>
      <c r="P8" s="15">
        <f t="shared" ref="P8:P13" si="10">AVERAGE(N8:O8)</f>
        <v>97.5</v>
      </c>
      <c r="Q8" s="43">
        <v>100</v>
      </c>
      <c r="R8" s="14">
        <f t="shared" si="5"/>
        <v>100</v>
      </c>
      <c r="S8" s="15">
        <f t="shared" ref="S8:S13" si="11">AVERAGE(Q8:R8)</f>
        <v>100</v>
      </c>
      <c r="T8" s="9">
        <f t="shared" ref="T8:T13" si="12">AVERAGE(D8,G8,J8,M8,P8,S8)</f>
        <v>99.097222222222229</v>
      </c>
      <c r="V8" s="50">
        <v>2</v>
      </c>
    </row>
    <row r="9" spans="1:22" ht="13.15" x14ac:dyDescent="0.4">
      <c r="A9" s="6" t="s">
        <v>131</v>
      </c>
      <c r="B9" s="43">
        <v>100</v>
      </c>
      <c r="C9" s="14">
        <f t="shared" si="0"/>
        <v>100</v>
      </c>
      <c r="D9" s="15">
        <f t="shared" si="6"/>
        <v>100</v>
      </c>
      <c r="E9" s="43">
        <v>97</v>
      </c>
      <c r="F9" s="14">
        <f t="shared" si="1"/>
        <v>100</v>
      </c>
      <c r="G9" s="15">
        <f t="shared" si="7"/>
        <v>98.5</v>
      </c>
      <c r="H9" s="43">
        <v>100</v>
      </c>
      <c r="I9" s="14">
        <f t="shared" si="2"/>
        <v>100</v>
      </c>
      <c r="J9" s="15">
        <f t="shared" si="8"/>
        <v>100</v>
      </c>
      <c r="K9" s="43">
        <v>100</v>
      </c>
      <c r="L9" s="14">
        <f t="shared" si="3"/>
        <v>100</v>
      </c>
      <c r="M9" s="15">
        <f t="shared" si="9"/>
        <v>100</v>
      </c>
      <c r="N9" s="43">
        <v>90</v>
      </c>
      <c r="O9" s="14">
        <f t="shared" si="4"/>
        <v>100</v>
      </c>
      <c r="P9" s="15">
        <f t="shared" si="10"/>
        <v>95</v>
      </c>
      <c r="Q9" s="43">
        <v>100</v>
      </c>
      <c r="R9" s="14">
        <f t="shared" si="5"/>
        <v>100</v>
      </c>
      <c r="S9" s="15">
        <f t="shared" si="11"/>
        <v>100</v>
      </c>
      <c r="T9" s="9">
        <f t="shared" si="12"/>
        <v>98.916666666666671</v>
      </c>
      <c r="V9" s="50">
        <v>1</v>
      </c>
    </row>
    <row r="10" spans="1:22" ht="13.15" x14ac:dyDescent="0.4">
      <c r="A10" s="6" t="s">
        <v>129</v>
      </c>
      <c r="B10" s="43">
        <v>100</v>
      </c>
      <c r="C10" s="14">
        <f t="shared" si="0"/>
        <v>100</v>
      </c>
      <c r="D10" s="15">
        <f t="shared" si="6"/>
        <v>100</v>
      </c>
      <c r="E10" s="43">
        <v>97</v>
      </c>
      <c r="F10" s="14">
        <f t="shared" si="1"/>
        <v>98.332499999999996</v>
      </c>
      <c r="G10" s="15">
        <f t="shared" si="7"/>
        <v>97.666249999999991</v>
      </c>
      <c r="H10" s="43">
        <v>100</v>
      </c>
      <c r="I10" s="14">
        <f t="shared" si="2"/>
        <v>100</v>
      </c>
      <c r="J10" s="15">
        <f t="shared" si="8"/>
        <v>100</v>
      </c>
      <c r="K10" s="43">
        <v>100</v>
      </c>
      <c r="L10" s="14">
        <f t="shared" si="3"/>
        <v>95.833333333333329</v>
      </c>
      <c r="M10" s="15">
        <f t="shared" si="9"/>
        <v>97.916666666666657</v>
      </c>
      <c r="N10" s="43">
        <v>90</v>
      </c>
      <c r="O10" s="14">
        <f t="shared" si="4"/>
        <v>100</v>
      </c>
      <c r="P10" s="15">
        <f t="shared" si="10"/>
        <v>95</v>
      </c>
      <c r="Q10" s="43">
        <v>100</v>
      </c>
      <c r="R10" s="14">
        <f t="shared" si="5"/>
        <v>100</v>
      </c>
      <c r="S10" s="15">
        <f t="shared" si="11"/>
        <v>100</v>
      </c>
      <c r="T10" s="9">
        <f t="shared" si="12"/>
        <v>98.430486111111108</v>
      </c>
      <c r="V10" s="50">
        <v>1</v>
      </c>
    </row>
    <row r="11" spans="1:22" ht="13.15" x14ac:dyDescent="0.4">
      <c r="A11" s="6" t="s">
        <v>121</v>
      </c>
      <c r="B11" s="43">
        <v>100</v>
      </c>
      <c r="C11" s="14">
        <f t="shared" si="0"/>
        <v>99.166666666666671</v>
      </c>
      <c r="D11" s="15">
        <f t="shared" si="6"/>
        <v>99.583333333333343</v>
      </c>
      <c r="E11" s="43">
        <v>95</v>
      </c>
      <c r="F11" s="14">
        <f t="shared" si="1"/>
        <v>100</v>
      </c>
      <c r="G11" s="15">
        <f t="shared" si="7"/>
        <v>97.5</v>
      </c>
      <c r="H11" s="43">
        <v>100</v>
      </c>
      <c r="I11" s="14">
        <f t="shared" si="2"/>
        <v>100</v>
      </c>
      <c r="J11" s="15">
        <f t="shared" si="8"/>
        <v>100</v>
      </c>
      <c r="K11" s="43">
        <v>100</v>
      </c>
      <c r="L11" s="14">
        <f t="shared" si="3"/>
        <v>100</v>
      </c>
      <c r="M11" s="15">
        <f t="shared" si="9"/>
        <v>100</v>
      </c>
      <c r="N11" s="43">
        <v>95</v>
      </c>
      <c r="O11" s="14">
        <f t="shared" si="4"/>
        <v>100</v>
      </c>
      <c r="P11" s="15">
        <f t="shared" si="10"/>
        <v>97.5</v>
      </c>
      <c r="Q11" s="43">
        <v>100</v>
      </c>
      <c r="R11" s="14">
        <f t="shared" si="5"/>
        <v>100</v>
      </c>
      <c r="S11" s="15">
        <f t="shared" si="11"/>
        <v>100</v>
      </c>
      <c r="T11" s="9">
        <f t="shared" si="12"/>
        <v>99.097222222222229</v>
      </c>
      <c r="V11" s="50">
        <v>2</v>
      </c>
    </row>
    <row r="12" spans="1:22" ht="13.15" x14ac:dyDescent="0.4">
      <c r="A12" s="6" t="s">
        <v>133</v>
      </c>
      <c r="B12" s="43">
        <v>100</v>
      </c>
      <c r="C12" s="14">
        <f t="shared" si="0"/>
        <v>100</v>
      </c>
      <c r="D12" s="15">
        <f t="shared" si="6"/>
        <v>100</v>
      </c>
      <c r="E12" s="43">
        <v>97</v>
      </c>
      <c r="F12" s="14">
        <f t="shared" si="1"/>
        <v>99.167500000000004</v>
      </c>
      <c r="G12" s="15">
        <f t="shared" si="7"/>
        <v>98.083750000000009</v>
      </c>
      <c r="H12" s="43">
        <v>100</v>
      </c>
      <c r="I12" s="14">
        <f t="shared" si="2"/>
        <v>100</v>
      </c>
      <c r="J12" s="15">
        <f t="shared" si="8"/>
        <v>100</v>
      </c>
      <c r="K12" s="43">
        <v>100</v>
      </c>
      <c r="L12" s="14">
        <f t="shared" si="3"/>
        <v>100</v>
      </c>
      <c r="M12" s="15">
        <f t="shared" si="9"/>
        <v>100</v>
      </c>
      <c r="N12" s="43">
        <v>90</v>
      </c>
      <c r="O12" s="14">
        <f t="shared" si="4"/>
        <v>100</v>
      </c>
      <c r="P12" s="15">
        <f t="shared" si="10"/>
        <v>95</v>
      </c>
      <c r="Q12" s="43">
        <v>100</v>
      </c>
      <c r="R12" s="14">
        <f t="shared" si="5"/>
        <v>100</v>
      </c>
      <c r="S12" s="15">
        <f t="shared" si="11"/>
        <v>100</v>
      </c>
      <c r="T12" s="9">
        <f t="shared" si="12"/>
        <v>98.847291666666663</v>
      </c>
      <c r="V12" s="50">
        <v>1</v>
      </c>
    </row>
    <row r="13" spans="1:22" ht="13.15" x14ac:dyDescent="0.4">
      <c r="A13" s="6" t="s">
        <v>135</v>
      </c>
      <c r="B13" s="43">
        <v>100</v>
      </c>
      <c r="C13" s="14">
        <f t="shared" si="0"/>
        <v>100</v>
      </c>
      <c r="D13" s="15">
        <f t="shared" si="6"/>
        <v>100</v>
      </c>
      <c r="E13" s="43">
        <v>97</v>
      </c>
      <c r="F13" s="14">
        <f t="shared" si="1"/>
        <v>100</v>
      </c>
      <c r="G13" s="15">
        <f t="shared" si="7"/>
        <v>98.5</v>
      </c>
      <c r="H13" s="43">
        <v>100</v>
      </c>
      <c r="I13" s="14">
        <f t="shared" si="2"/>
        <v>100</v>
      </c>
      <c r="J13" s="15">
        <f t="shared" si="8"/>
        <v>100</v>
      </c>
      <c r="K13" s="43">
        <v>100</v>
      </c>
      <c r="L13" s="14">
        <f t="shared" si="3"/>
        <v>100</v>
      </c>
      <c r="M13" s="15">
        <f t="shared" si="9"/>
        <v>100</v>
      </c>
      <c r="N13" s="43">
        <v>90</v>
      </c>
      <c r="O13" s="14">
        <f t="shared" si="4"/>
        <v>100</v>
      </c>
      <c r="P13" s="15">
        <f t="shared" si="10"/>
        <v>95</v>
      </c>
      <c r="Q13" s="43">
        <v>100</v>
      </c>
      <c r="R13" s="14">
        <f t="shared" si="5"/>
        <v>100</v>
      </c>
      <c r="S13" s="15">
        <f t="shared" si="11"/>
        <v>100</v>
      </c>
      <c r="T13" s="9">
        <f t="shared" si="12"/>
        <v>98.916666666666671</v>
      </c>
      <c r="V13" s="50">
        <v>1</v>
      </c>
    </row>
    <row r="14" spans="1:22" x14ac:dyDescent="0.35">
      <c r="B14" s="53" t="s">
        <v>92</v>
      </c>
      <c r="C14" s="53"/>
      <c r="D14" s="53"/>
      <c r="E14" s="53"/>
      <c r="F14" s="53"/>
    </row>
    <row r="15" spans="1:22" x14ac:dyDescent="0.35">
      <c r="A15" s="4" t="s">
        <v>4</v>
      </c>
      <c r="B15" s="33" t="s">
        <v>93</v>
      </c>
      <c r="C15" s="33" t="s">
        <v>94</v>
      </c>
      <c r="D15" s="33" t="s">
        <v>95</v>
      </c>
      <c r="E15" s="34" t="s">
        <v>96</v>
      </c>
      <c r="F15" s="34" t="s">
        <v>97</v>
      </c>
    </row>
    <row r="16" spans="1:22" ht="13.15" x14ac:dyDescent="0.4">
      <c r="A16" s="6" t="s">
        <v>125</v>
      </c>
      <c r="B16" s="43">
        <v>100</v>
      </c>
      <c r="C16" s="43">
        <f>25/30*100</f>
        <v>83.333333333333343</v>
      </c>
      <c r="D16" s="43">
        <f>28/30*100</f>
        <v>93.333333333333329</v>
      </c>
      <c r="E16" s="43">
        <v>100</v>
      </c>
      <c r="F16" s="35">
        <f>AVERAGE(B16:E16)</f>
        <v>94.166666666666671</v>
      </c>
      <c r="H16" s="50">
        <v>2</v>
      </c>
    </row>
    <row r="17" spans="1:8" ht="13.15" x14ac:dyDescent="0.4">
      <c r="A17" s="6" t="s">
        <v>123</v>
      </c>
      <c r="B17" s="43">
        <v>100</v>
      </c>
      <c r="C17" s="43">
        <f>29/30*100</f>
        <v>96.666666666666671</v>
      </c>
      <c r="D17" s="43">
        <v>100</v>
      </c>
      <c r="E17" s="43">
        <v>100</v>
      </c>
      <c r="F17" s="35">
        <f>AVERAGE(B17:E17)</f>
        <v>99.166666666666671</v>
      </c>
      <c r="H17" s="50">
        <v>2</v>
      </c>
    </row>
    <row r="18" spans="1:8" ht="13.15" x14ac:dyDescent="0.4">
      <c r="A18" s="6" t="s">
        <v>127</v>
      </c>
      <c r="B18" s="43">
        <v>100</v>
      </c>
      <c r="C18" s="43">
        <f>29/30*100</f>
        <v>96.666666666666671</v>
      </c>
      <c r="D18" s="43">
        <v>100</v>
      </c>
      <c r="E18" s="43">
        <v>100</v>
      </c>
      <c r="F18" s="35">
        <f t="shared" ref="F18:F23" si="13">AVERAGE(B18:E18)</f>
        <v>99.166666666666671</v>
      </c>
      <c r="H18" s="50">
        <v>2</v>
      </c>
    </row>
    <row r="19" spans="1:8" ht="13.15" x14ac:dyDescent="0.4">
      <c r="A19" s="6" t="s">
        <v>131</v>
      </c>
      <c r="B19" s="43">
        <v>100</v>
      </c>
      <c r="C19" s="43">
        <v>100</v>
      </c>
      <c r="D19" s="43">
        <v>100</v>
      </c>
      <c r="E19" s="43">
        <v>100</v>
      </c>
      <c r="F19" s="35">
        <f t="shared" si="13"/>
        <v>100</v>
      </c>
      <c r="H19" s="50">
        <v>1</v>
      </c>
    </row>
    <row r="20" spans="1:8" ht="13.15" x14ac:dyDescent="0.4">
      <c r="A20" s="6" t="s">
        <v>129</v>
      </c>
      <c r="B20" s="43">
        <v>100</v>
      </c>
      <c r="C20" s="43">
        <v>100</v>
      </c>
      <c r="D20" s="43">
        <v>100</v>
      </c>
      <c r="E20" s="43">
        <v>100</v>
      </c>
      <c r="F20" s="35">
        <f t="shared" si="13"/>
        <v>100</v>
      </c>
      <c r="H20" s="50">
        <v>1</v>
      </c>
    </row>
    <row r="21" spans="1:8" ht="13.15" x14ac:dyDescent="0.4">
      <c r="A21" s="6" t="s">
        <v>121</v>
      </c>
      <c r="B21" s="43">
        <v>100</v>
      </c>
      <c r="C21" s="43">
        <f>29/30*100</f>
        <v>96.666666666666671</v>
      </c>
      <c r="D21" s="43">
        <v>100</v>
      </c>
      <c r="E21" s="43">
        <v>100</v>
      </c>
      <c r="F21" s="35">
        <f t="shared" si="13"/>
        <v>99.166666666666671</v>
      </c>
      <c r="H21" s="50">
        <v>2</v>
      </c>
    </row>
    <row r="22" spans="1:8" ht="13.15" x14ac:dyDescent="0.4">
      <c r="A22" s="6" t="s">
        <v>133</v>
      </c>
      <c r="B22" s="43">
        <v>100</v>
      </c>
      <c r="C22" s="43">
        <v>100</v>
      </c>
      <c r="D22" s="43">
        <v>100</v>
      </c>
      <c r="E22" s="43">
        <v>100</v>
      </c>
      <c r="F22" s="35">
        <f t="shared" si="13"/>
        <v>100</v>
      </c>
      <c r="H22" s="50">
        <v>1</v>
      </c>
    </row>
    <row r="23" spans="1:8" ht="13.15" x14ac:dyDescent="0.4">
      <c r="A23" s="6" t="s">
        <v>135</v>
      </c>
      <c r="B23" s="43">
        <v>100</v>
      </c>
      <c r="C23" s="43">
        <v>100</v>
      </c>
      <c r="D23" s="43">
        <v>100</v>
      </c>
      <c r="E23" s="43">
        <v>100</v>
      </c>
      <c r="F23" s="35">
        <f t="shared" si="13"/>
        <v>100</v>
      </c>
      <c r="H23" s="50">
        <v>1</v>
      </c>
    </row>
    <row r="24" spans="1:8" x14ac:dyDescent="0.35">
      <c r="B24" s="53" t="s">
        <v>98</v>
      </c>
      <c r="C24" s="53"/>
      <c r="D24" s="53"/>
      <c r="E24" s="53"/>
      <c r="F24" s="53"/>
    </row>
    <row r="25" spans="1:8" x14ac:dyDescent="0.35">
      <c r="A25" s="4" t="s">
        <v>4</v>
      </c>
      <c r="B25" s="33" t="s">
        <v>93</v>
      </c>
      <c r="C25" s="33" t="s">
        <v>94</v>
      </c>
      <c r="D25" s="33" t="s">
        <v>95</v>
      </c>
      <c r="E25" s="34" t="s">
        <v>96</v>
      </c>
      <c r="F25" s="34" t="s">
        <v>97</v>
      </c>
    </row>
    <row r="26" spans="1:8" ht="13.15" x14ac:dyDescent="0.4">
      <c r="A26" s="6" t="s">
        <v>125</v>
      </c>
      <c r="B26" s="43">
        <v>100</v>
      </c>
      <c r="C26" s="43">
        <v>86.67</v>
      </c>
      <c r="D26" s="43">
        <v>100</v>
      </c>
      <c r="E26" s="43">
        <v>100</v>
      </c>
      <c r="F26" s="35">
        <f>AVERAGE(B26:E26)</f>
        <v>96.667500000000004</v>
      </c>
      <c r="H26" s="50">
        <v>2</v>
      </c>
    </row>
    <row r="27" spans="1:8" ht="13.15" x14ac:dyDescent="0.4">
      <c r="A27" s="6" t="s">
        <v>123</v>
      </c>
      <c r="B27" s="43">
        <v>100</v>
      </c>
      <c r="C27" s="43">
        <v>90</v>
      </c>
      <c r="D27" s="43">
        <v>100</v>
      </c>
      <c r="E27" s="43">
        <v>100</v>
      </c>
      <c r="F27" s="35">
        <f>AVERAGE(B27:E27)</f>
        <v>97.5</v>
      </c>
      <c r="H27" s="50">
        <v>2</v>
      </c>
    </row>
    <row r="28" spans="1:8" ht="13.15" x14ac:dyDescent="0.4">
      <c r="A28" s="6" t="s">
        <v>127</v>
      </c>
      <c r="B28" s="43">
        <v>100</v>
      </c>
      <c r="C28" s="43">
        <v>100</v>
      </c>
      <c r="D28" s="43">
        <v>100</v>
      </c>
      <c r="E28" s="43">
        <v>100</v>
      </c>
      <c r="F28" s="35">
        <f t="shared" ref="F28:F33" si="14">AVERAGE(B28:E28)</f>
        <v>100</v>
      </c>
      <c r="H28" s="50">
        <v>2</v>
      </c>
    </row>
    <row r="29" spans="1:8" ht="13.15" x14ac:dyDescent="0.4">
      <c r="A29" s="6" t="s">
        <v>131</v>
      </c>
      <c r="B29" s="43">
        <v>100</v>
      </c>
      <c r="C29" s="43">
        <v>100</v>
      </c>
      <c r="D29" s="43">
        <v>100</v>
      </c>
      <c r="E29" s="43">
        <v>100</v>
      </c>
      <c r="F29" s="35">
        <f t="shared" si="14"/>
        <v>100</v>
      </c>
      <c r="H29" s="50">
        <v>1</v>
      </c>
    </row>
    <row r="30" spans="1:8" ht="13.15" x14ac:dyDescent="0.4">
      <c r="A30" s="6" t="s">
        <v>129</v>
      </c>
      <c r="B30" s="43">
        <v>93.33</v>
      </c>
      <c r="C30" s="43">
        <v>100</v>
      </c>
      <c r="D30" s="43">
        <v>100</v>
      </c>
      <c r="E30" s="43">
        <v>100</v>
      </c>
      <c r="F30" s="35">
        <f t="shared" si="14"/>
        <v>98.332499999999996</v>
      </c>
      <c r="H30" s="50">
        <v>1</v>
      </c>
    </row>
    <row r="31" spans="1:8" ht="13.15" x14ac:dyDescent="0.4">
      <c r="A31" s="6" t="s">
        <v>121</v>
      </c>
      <c r="B31" s="43">
        <v>100</v>
      </c>
      <c r="C31" s="43">
        <v>100</v>
      </c>
      <c r="D31" s="43">
        <v>100</v>
      </c>
      <c r="E31" s="43">
        <v>100</v>
      </c>
      <c r="F31" s="35">
        <f t="shared" si="14"/>
        <v>100</v>
      </c>
      <c r="H31" s="50">
        <v>2</v>
      </c>
    </row>
    <row r="32" spans="1:8" ht="13.15" x14ac:dyDescent="0.4">
      <c r="A32" s="6" t="s">
        <v>133</v>
      </c>
      <c r="B32" s="43">
        <v>96.67</v>
      </c>
      <c r="C32" s="43">
        <v>100</v>
      </c>
      <c r="D32" s="43">
        <v>100</v>
      </c>
      <c r="E32" s="43">
        <v>100</v>
      </c>
      <c r="F32" s="35">
        <f t="shared" si="14"/>
        <v>99.167500000000004</v>
      </c>
      <c r="H32" s="50">
        <v>1</v>
      </c>
    </row>
    <row r="33" spans="1:8" ht="13.15" x14ac:dyDescent="0.4">
      <c r="A33" s="6" t="s">
        <v>135</v>
      </c>
      <c r="B33" s="43">
        <v>100</v>
      </c>
      <c r="C33" s="43">
        <v>100</v>
      </c>
      <c r="D33" s="43">
        <v>100</v>
      </c>
      <c r="E33" s="43">
        <v>100</v>
      </c>
      <c r="F33" s="35">
        <f t="shared" si="14"/>
        <v>100</v>
      </c>
      <c r="H33" s="50">
        <v>1</v>
      </c>
    </row>
    <row r="34" spans="1:8" x14ac:dyDescent="0.35">
      <c r="B34" s="53" t="s">
        <v>99</v>
      </c>
      <c r="C34" s="53"/>
      <c r="D34" s="53"/>
      <c r="E34" s="53"/>
      <c r="F34" s="53"/>
    </row>
    <row r="35" spans="1:8" x14ac:dyDescent="0.35">
      <c r="A35" s="4" t="s">
        <v>4</v>
      </c>
      <c r="B35" s="33" t="s">
        <v>93</v>
      </c>
      <c r="C35" s="33" t="s">
        <v>94</v>
      </c>
      <c r="D35" s="33" t="s">
        <v>95</v>
      </c>
      <c r="E35" s="34" t="s">
        <v>96</v>
      </c>
      <c r="F35" s="34" t="s">
        <v>97</v>
      </c>
    </row>
    <row r="36" spans="1:8" ht="13.15" x14ac:dyDescent="0.4">
      <c r="A36" s="6" t="s">
        <v>125</v>
      </c>
      <c r="B36" s="43">
        <v>100</v>
      </c>
      <c r="C36" s="43">
        <v>100</v>
      </c>
      <c r="D36" s="43">
        <v>100</v>
      </c>
      <c r="E36" s="43">
        <v>100</v>
      </c>
      <c r="F36" s="35">
        <f>AVERAGE(B36:E36)</f>
        <v>100</v>
      </c>
      <c r="H36" s="50">
        <v>2</v>
      </c>
    </row>
    <row r="37" spans="1:8" ht="13.15" x14ac:dyDescent="0.4">
      <c r="A37" s="6" t="s">
        <v>123</v>
      </c>
      <c r="B37" s="43">
        <v>100</v>
      </c>
      <c r="C37" s="43">
        <v>100</v>
      </c>
      <c r="D37" s="43">
        <v>100</v>
      </c>
      <c r="E37" s="43">
        <v>100</v>
      </c>
      <c r="F37" s="35">
        <f>AVERAGE(B37:E37)</f>
        <v>100</v>
      </c>
      <c r="H37" s="50">
        <v>2</v>
      </c>
    </row>
    <row r="38" spans="1:8" ht="13.15" x14ac:dyDescent="0.4">
      <c r="A38" s="6" t="s">
        <v>127</v>
      </c>
      <c r="B38" s="43">
        <v>100</v>
      </c>
      <c r="C38" s="43">
        <v>100</v>
      </c>
      <c r="D38" s="43">
        <v>100</v>
      </c>
      <c r="E38" s="43">
        <v>100</v>
      </c>
      <c r="F38" s="35">
        <f t="shared" ref="F38:F43" si="15">AVERAGE(B38:E38)</f>
        <v>100</v>
      </c>
      <c r="H38" s="50">
        <v>2</v>
      </c>
    </row>
    <row r="39" spans="1:8" ht="13.15" x14ac:dyDescent="0.4">
      <c r="A39" s="6" t="s">
        <v>131</v>
      </c>
      <c r="B39" s="43">
        <v>100</v>
      </c>
      <c r="C39" s="43">
        <v>100</v>
      </c>
      <c r="D39" s="43">
        <v>100</v>
      </c>
      <c r="E39" s="43">
        <v>100</v>
      </c>
      <c r="F39" s="35">
        <f t="shared" si="15"/>
        <v>100</v>
      </c>
      <c r="H39" s="50">
        <v>1</v>
      </c>
    </row>
    <row r="40" spans="1:8" ht="13.15" x14ac:dyDescent="0.4">
      <c r="A40" s="6" t="s">
        <v>129</v>
      </c>
      <c r="B40" s="43">
        <v>100</v>
      </c>
      <c r="C40" s="43">
        <v>100</v>
      </c>
      <c r="D40" s="43">
        <v>100</v>
      </c>
      <c r="E40" s="43">
        <v>100</v>
      </c>
      <c r="F40" s="35">
        <f t="shared" si="15"/>
        <v>100</v>
      </c>
      <c r="H40" s="50">
        <v>1</v>
      </c>
    </row>
    <row r="41" spans="1:8" ht="13.15" x14ac:dyDescent="0.4">
      <c r="A41" s="6" t="s">
        <v>121</v>
      </c>
      <c r="B41" s="43">
        <v>100</v>
      </c>
      <c r="C41" s="43">
        <v>100</v>
      </c>
      <c r="D41" s="43">
        <v>100</v>
      </c>
      <c r="E41" s="43">
        <v>100</v>
      </c>
      <c r="F41" s="35">
        <f t="shared" si="15"/>
        <v>100</v>
      </c>
      <c r="H41" s="50">
        <v>2</v>
      </c>
    </row>
    <row r="42" spans="1:8" ht="13.15" x14ac:dyDescent="0.4">
      <c r="A42" s="6" t="s">
        <v>133</v>
      </c>
      <c r="B42" s="43">
        <v>100</v>
      </c>
      <c r="C42" s="43">
        <v>100</v>
      </c>
      <c r="D42" s="43">
        <v>100</v>
      </c>
      <c r="E42" s="43">
        <v>100</v>
      </c>
      <c r="F42" s="35">
        <f t="shared" si="15"/>
        <v>100</v>
      </c>
      <c r="H42" s="50">
        <v>1</v>
      </c>
    </row>
    <row r="43" spans="1:8" ht="13.15" x14ac:dyDescent="0.4">
      <c r="A43" s="6" t="s">
        <v>135</v>
      </c>
      <c r="B43" s="43">
        <v>100</v>
      </c>
      <c r="C43" s="43">
        <v>100</v>
      </c>
      <c r="D43" s="43">
        <v>100</v>
      </c>
      <c r="E43" s="43">
        <v>100</v>
      </c>
      <c r="F43" s="35">
        <f t="shared" si="15"/>
        <v>100</v>
      </c>
      <c r="H43" s="50">
        <v>1</v>
      </c>
    </row>
    <row r="44" spans="1:8" x14ac:dyDescent="0.35">
      <c r="B44" s="53" t="s">
        <v>100</v>
      </c>
      <c r="C44" s="53"/>
      <c r="D44" s="53"/>
      <c r="E44" s="53"/>
      <c r="F44" s="53"/>
    </row>
    <row r="45" spans="1:8" x14ac:dyDescent="0.35">
      <c r="A45" s="4" t="s">
        <v>4</v>
      </c>
      <c r="B45" s="33" t="s">
        <v>93</v>
      </c>
      <c r="C45" s="33" t="s">
        <v>94</v>
      </c>
      <c r="D45" s="33" t="s">
        <v>95</v>
      </c>
      <c r="E45" s="34" t="s">
        <v>96</v>
      </c>
      <c r="F45" s="34" t="s">
        <v>97</v>
      </c>
    </row>
    <row r="46" spans="1:8" ht="13.15" x14ac:dyDescent="0.4">
      <c r="A46" s="6" t="s">
        <v>125</v>
      </c>
      <c r="B46" s="43">
        <v>100</v>
      </c>
      <c r="C46" s="43">
        <f>29/30*100</f>
        <v>96.666666666666671</v>
      </c>
      <c r="D46" s="43">
        <v>100</v>
      </c>
      <c r="E46" s="43">
        <v>100</v>
      </c>
      <c r="F46" s="35">
        <f>AVERAGE(B46:E46)</f>
        <v>99.166666666666671</v>
      </c>
      <c r="H46" s="50">
        <v>2</v>
      </c>
    </row>
    <row r="47" spans="1:8" ht="13.15" x14ac:dyDescent="0.4">
      <c r="A47" s="6" t="s">
        <v>123</v>
      </c>
      <c r="B47" s="43">
        <v>100</v>
      </c>
      <c r="C47" s="43">
        <v>100</v>
      </c>
      <c r="D47" s="43">
        <v>100</v>
      </c>
      <c r="E47" s="43">
        <v>100</v>
      </c>
      <c r="F47" s="35">
        <f>AVERAGE(B47:E47)</f>
        <v>100</v>
      </c>
      <c r="H47" s="50">
        <v>2</v>
      </c>
    </row>
    <row r="48" spans="1:8" ht="13.15" x14ac:dyDescent="0.4">
      <c r="A48" s="6" t="s">
        <v>127</v>
      </c>
      <c r="B48" s="43">
        <v>100</v>
      </c>
      <c r="C48" s="43">
        <v>100</v>
      </c>
      <c r="D48" s="43">
        <v>100</v>
      </c>
      <c r="E48" s="43">
        <v>100</v>
      </c>
      <c r="F48" s="35">
        <f>AVERAGE(B48:E48)</f>
        <v>100</v>
      </c>
      <c r="H48" s="50">
        <v>2</v>
      </c>
    </row>
    <row r="49" spans="1:8" ht="13.15" x14ac:dyDescent="0.4">
      <c r="A49" s="6" t="s">
        <v>131</v>
      </c>
      <c r="B49" s="43">
        <v>100</v>
      </c>
      <c r="C49" s="43">
        <v>100</v>
      </c>
      <c r="D49" s="43">
        <v>100</v>
      </c>
      <c r="E49" s="43">
        <v>100</v>
      </c>
      <c r="F49" s="35">
        <f t="shared" ref="F49:F53" si="16">AVERAGE(B49:E49)</f>
        <v>100</v>
      </c>
      <c r="H49" s="50">
        <v>1</v>
      </c>
    </row>
    <row r="50" spans="1:8" ht="13.15" x14ac:dyDescent="0.4">
      <c r="A50" s="6" t="s">
        <v>129</v>
      </c>
      <c r="B50" s="43">
        <v>100</v>
      </c>
      <c r="C50" s="43">
        <v>100</v>
      </c>
      <c r="D50" s="43">
        <f>27/30*100</f>
        <v>90</v>
      </c>
      <c r="E50" s="43">
        <f>28/30*100</f>
        <v>93.333333333333329</v>
      </c>
      <c r="F50" s="35">
        <f t="shared" si="16"/>
        <v>95.833333333333329</v>
      </c>
      <c r="H50" s="50">
        <v>1</v>
      </c>
    </row>
    <row r="51" spans="1:8" ht="13.15" x14ac:dyDescent="0.4">
      <c r="A51" s="6" t="s">
        <v>121</v>
      </c>
      <c r="B51" s="43">
        <v>100</v>
      </c>
      <c r="C51" s="43">
        <v>100</v>
      </c>
      <c r="D51" s="43">
        <v>100</v>
      </c>
      <c r="E51" s="43">
        <v>100</v>
      </c>
      <c r="F51" s="35">
        <f t="shared" si="16"/>
        <v>100</v>
      </c>
      <c r="H51" s="50">
        <v>2</v>
      </c>
    </row>
    <row r="52" spans="1:8" ht="13.15" x14ac:dyDescent="0.4">
      <c r="A52" s="6" t="s">
        <v>133</v>
      </c>
      <c r="B52" s="43">
        <v>100</v>
      </c>
      <c r="C52" s="43">
        <v>100</v>
      </c>
      <c r="D52" s="43">
        <v>100</v>
      </c>
      <c r="E52" s="43">
        <v>100</v>
      </c>
      <c r="F52" s="35">
        <f t="shared" si="16"/>
        <v>100</v>
      </c>
      <c r="H52" s="50">
        <v>1</v>
      </c>
    </row>
    <row r="53" spans="1:8" ht="13.15" x14ac:dyDescent="0.4">
      <c r="A53" s="6" t="s">
        <v>135</v>
      </c>
      <c r="B53" s="43">
        <v>100</v>
      </c>
      <c r="C53" s="43">
        <v>100</v>
      </c>
      <c r="D53" s="43">
        <v>100</v>
      </c>
      <c r="E53" s="43">
        <v>100</v>
      </c>
      <c r="F53" s="35">
        <f t="shared" si="16"/>
        <v>100</v>
      </c>
      <c r="H53" s="50">
        <v>1</v>
      </c>
    </row>
    <row r="54" spans="1:8" x14ac:dyDescent="0.35">
      <c r="B54" s="53" t="s">
        <v>101</v>
      </c>
      <c r="C54" s="53"/>
      <c r="D54" s="53"/>
      <c r="E54" s="53"/>
      <c r="F54" s="53"/>
    </row>
    <row r="55" spans="1:8" x14ac:dyDescent="0.35">
      <c r="A55" s="4" t="s">
        <v>4</v>
      </c>
      <c r="B55" s="33" t="s">
        <v>93</v>
      </c>
      <c r="C55" s="33" t="s">
        <v>94</v>
      </c>
      <c r="D55" s="33" t="s">
        <v>95</v>
      </c>
      <c r="E55" s="34" t="s">
        <v>96</v>
      </c>
      <c r="F55" s="34" t="s">
        <v>97</v>
      </c>
    </row>
    <row r="56" spans="1:8" ht="13.15" x14ac:dyDescent="0.4">
      <c r="A56" s="6" t="s">
        <v>125</v>
      </c>
      <c r="B56" s="43">
        <v>100</v>
      </c>
      <c r="C56" s="43">
        <v>100</v>
      </c>
      <c r="D56" s="43">
        <v>100</v>
      </c>
      <c r="E56" s="43">
        <v>100</v>
      </c>
      <c r="F56" s="35">
        <f>AVERAGE(B56:E56)</f>
        <v>100</v>
      </c>
      <c r="H56" s="50">
        <v>2</v>
      </c>
    </row>
    <row r="57" spans="1:8" ht="13.15" x14ac:dyDescent="0.4">
      <c r="A57" s="6" t="s">
        <v>123</v>
      </c>
      <c r="B57" s="43">
        <v>100</v>
      </c>
      <c r="C57" s="43">
        <v>100</v>
      </c>
      <c r="D57" s="43">
        <v>100</v>
      </c>
      <c r="E57" s="43">
        <v>100</v>
      </c>
      <c r="F57" s="35">
        <f>AVERAGE(B57:E57)</f>
        <v>100</v>
      </c>
      <c r="H57" s="50">
        <v>2</v>
      </c>
    </row>
    <row r="58" spans="1:8" ht="13.15" x14ac:dyDescent="0.4">
      <c r="A58" s="6" t="s">
        <v>127</v>
      </c>
      <c r="B58" s="43">
        <v>100</v>
      </c>
      <c r="C58" s="43">
        <v>100</v>
      </c>
      <c r="D58" s="43">
        <v>100</v>
      </c>
      <c r="E58" s="43">
        <v>100</v>
      </c>
      <c r="F58" s="35">
        <f t="shared" ref="F58:F63" si="17">AVERAGE(B58:E58)</f>
        <v>100</v>
      </c>
      <c r="H58" s="50">
        <v>2</v>
      </c>
    </row>
    <row r="59" spans="1:8" ht="13.15" x14ac:dyDescent="0.4">
      <c r="A59" s="6" t="s">
        <v>131</v>
      </c>
      <c r="B59" s="43">
        <v>100</v>
      </c>
      <c r="C59" s="43">
        <v>100</v>
      </c>
      <c r="D59" s="43">
        <v>100</v>
      </c>
      <c r="E59" s="43">
        <v>100</v>
      </c>
      <c r="F59" s="35">
        <f t="shared" si="17"/>
        <v>100</v>
      </c>
      <c r="H59" s="50">
        <v>1</v>
      </c>
    </row>
    <row r="60" spans="1:8" ht="13.15" x14ac:dyDescent="0.4">
      <c r="A60" s="6" t="s">
        <v>129</v>
      </c>
      <c r="B60" s="43">
        <v>100</v>
      </c>
      <c r="C60" s="43">
        <v>100</v>
      </c>
      <c r="D60" s="43">
        <v>100</v>
      </c>
      <c r="E60" s="43">
        <v>100</v>
      </c>
      <c r="F60" s="35">
        <f t="shared" si="17"/>
        <v>100</v>
      </c>
      <c r="H60" s="50">
        <v>1</v>
      </c>
    </row>
    <row r="61" spans="1:8" ht="13.15" x14ac:dyDescent="0.4">
      <c r="A61" s="6" t="s">
        <v>121</v>
      </c>
      <c r="B61" s="43">
        <v>100</v>
      </c>
      <c r="C61" s="43">
        <v>100</v>
      </c>
      <c r="D61" s="43">
        <v>100</v>
      </c>
      <c r="E61" s="43">
        <v>100</v>
      </c>
      <c r="F61" s="35">
        <f t="shared" si="17"/>
        <v>100</v>
      </c>
      <c r="H61" s="50">
        <v>2</v>
      </c>
    </row>
    <row r="62" spans="1:8" ht="13.15" x14ac:dyDescent="0.4">
      <c r="A62" s="6" t="s">
        <v>133</v>
      </c>
      <c r="B62" s="43">
        <v>100</v>
      </c>
      <c r="C62" s="43">
        <v>100</v>
      </c>
      <c r="D62" s="43">
        <v>100</v>
      </c>
      <c r="E62" s="43">
        <v>100</v>
      </c>
      <c r="F62" s="35">
        <f t="shared" si="17"/>
        <v>100</v>
      </c>
      <c r="H62" s="50">
        <v>1</v>
      </c>
    </row>
    <row r="63" spans="1:8" ht="13.15" x14ac:dyDescent="0.4">
      <c r="A63" s="6" t="s">
        <v>135</v>
      </c>
      <c r="B63" s="43">
        <v>100</v>
      </c>
      <c r="C63" s="43">
        <v>100</v>
      </c>
      <c r="D63" s="43">
        <v>100</v>
      </c>
      <c r="E63" s="43">
        <v>100</v>
      </c>
      <c r="F63" s="35">
        <f t="shared" si="17"/>
        <v>100</v>
      </c>
      <c r="H63" s="50">
        <v>1</v>
      </c>
    </row>
    <row r="64" spans="1:8" x14ac:dyDescent="0.35">
      <c r="B64" s="53" t="s">
        <v>102</v>
      </c>
      <c r="C64" s="53"/>
      <c r="D64" s="53"/>
      <c r="E64" s="53"/>
      <c r="F64" s="53"/>
    </row>
    <row r="65" spans="1:8" x14ac:dyDescent="0.35">
      <c r="A65" s="4" t="s">
        <v>4</v>
      </c>
      <c r="B65" s="33" t="s">
        <v>93</v>
      </c>
      <c r="C65" s="33" t="s">
        <v>94</v>
      </c>
      <c r="D65" s="33" t="s">
        <v>95</v>
      </c>
      <c r="E65" s="34" t="s">
        <v>96</v>
      </c>
      <c r="F65" s="34" t="s">
        <v>97</v>
      </c>
    </row>
    <row r="66" spans="1:8" ht="13.15" x14ac:dyDescent="0.4">
      <c r="A66" s="6" t="s">
        <v>125</v>
      </c>
      <c r="B66" s="43">
        <v>100</v>
      </c>
      <c r="C66" s="43">
        <v>100</v>
      </c>
      <c r="D66" s="43">
        <v>100</v>
      </c>
      <c r="E66" s="43">
        <v>100</v>
      </c>
      <c r="F66" s="35">
        <f>AVERAGE(B66:E66)</f>
        <v>100</v>
      </c>
      <c r="H66" s="50">
        <v>2</v>
      </c>
    </row>
    <row r="67" spans="1:8" ht="13.15" x14ac:dyDescent="0.4">
      <c r="A67" s="6" t="s">
        <v>123</v>
      </c>
      <c r="B67" s="43">
        <v>100</v>
      </c>
      <c r="C67" s="43">
        <v>100</v>
      </c>
      <c r="D67" s="43">
        <v>100</v>
      </c>
      <c r="E67" s="43">
        <v>100</v>
      </c>
      <c r="F67" s="35">
        <f t="shared" ref="F67:F73" si="18">AVERAGE(B67:E67)</f>
        <v>100</v>
      </c>
      <c r="H67" s="50">
        <v>2</v>
      </c>
    </row>
    <row r="68" spans="1:8" ht="13.15" x14ac:dyDescent="0.4">
      <c r="A68" s="6" t="s">
        <v>127</v>
      </c>
      <c r="B68" s="43">
        <v>100</v>
      </c>
      <c r="C68" s="43">
        <v>100</v>
      </c>
      <c r="D68" s="43">
        <v>100</v>
      </c>
      <c r="E68" s="43">
        <v>100</v>
      </c>
      <c r="F68" s="35">
        <f t="shared" si="18"/>
        <v>100</v>
      </c>
      <c r="H68" s="50">
        <v>2</v>
      </c>
    </row>
    <row r="69" spans="1:8" ht="13.15" x14ac:dyDescent="0.4">
      <c r="A69" s="6" t="s">
        <v>131</v>
      </c>
      <c r="B69" s="43">
        <v>100</v>
      </c>
      <c r="C69" s="43">
        <v>100</v>
      </c>
      <c r="D69" s="43">
        <v>100</v>
      </c>
      <c r="E69" s="43">
        <v>100</v>
      </c>
      <c r="F69" s="35">
        <f t="shared" si="18"/>
        <v>100</v>
      </c>
      <c r="H69" s="50">
        <v>1</v>
      </c>
    </row>
    <row r="70" spans="1:8" ht="13.15" x14ac:dyDescent="0.4">
      <c r="A70" s="6" t="s">
        <v>129</v>
      </c>
      <c r="B70" s="43">
        <v>100</v>
      </c>
      <c r="C70" s="43">
        <v>100</v>
      </c>
      <c r="D70" s="43">
        <v>100</v>
      </c>
      <c r="E70" s="43">
        <v>100</v>
      </c>
      <c r="F70" s="35">
        <f t="shared" si="18"/>
        <v>100</v>
      </c>
      <c r="H70" s="50">
        <v>1</v>
      </c>
    </row>
    <row r="71" spans="1:8" ht="13.15" x14ac:dyDescent="0.4">
      <c r="A71" s="6" t="s">
        <v>121</v>
      </c>
      <c r="B71" s="43">
        <v>100</v>
      </c>
      <c r="C71" s="43">
        <v>100</v>
      </c>
      <c r="D71" s="43">
        <v>100</v>
      </c>
      <c r="E71" s="43">
        <v>100</v>
      </c>
      <c r="F71" s="35">
        <f t="shared" si="18"/>
        <v>100</v>
      </c>
      <c r="H71" s="50">
        <v>2</v>
      </c>
    </row>
    <row r="72" spans="1:8" ht="13.15" x14ac:dyDescent="0.4">
      <c r="A72" s="6" t="s">
        <v>133</v>
      </c>
      <c r="B72" s="43">
        <v>100</v>
      </c>
      <c r="C72" s="43">
        <v>100</v>
      </c>
      <c r="D72" s="43">
        <v>100</v>
      </c>
      <c r="E72" s="43">
        <v>100</v>
      </c>
      <c r="F72" s="35">
        <f t="shared" si="18"/>
        <v>100</v>
      </c>
      <c r="H72" s="50">
        <v>1</v>
      </c>
    </row>
    <row r="73" spans="1:8" ht="13.15" x14ac:dyDescent="0.4">
      <c r="A73" s="6" t="s">
        <v>135</v>
      </c>
      <c r="B73" s="43">
        <v>100</v>
      </c>
      <c r="C73" s="43">
        <v>100</v>
      </c>
      <c r="D73" s="43">
        <v>100</v>
      </c>
      <c r="E73" s="43">
        <v>100</v>
      </c>
      <c r="F73" s="35">
        <f t="shared" si="18"/>
        <v>100</v>
      </c>
      <c r="H73" s="50">
        <v>1</v>
      </c>
    </row>
  </sheetData>
  <sheetProtection selectLockedCells="1" selectUnlockedCells="1"/>
  <mergeCells count="9">
    <mergeCell ref="B44:F44"/>
    <mergeCell ref="B54:F54"/>
    <mergeCell ref="B64:F64"/>
    <mergeCell ref="A1:T1"/>
    <mergeCell ref="A2:T2"/>
    <mergeCell ref="A3:T3"/>
    <mergeCell ref="B14:F14"/>
    <mergeCell ref="B24:F24"/>
    <mergeCell ref="B34:F34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activeCell="C35" sqref="C35"/>
    </sheetView>
  </sheetViews>
  <sheetFormatPr baseColWidth="10" defaultColWidth="10.6640625" defaultRowHeight="12.75" x14ac:dyDescent="0.35"/>
  <cols>
    <col min="1" max="1" width="10.73046875" customWidth="1"/>
    <col min="2" max="6" width="13.73046875" customWidth="1"/>
    <col min="7" max="9" width="9.1328125" customWidth="1"/>
    <col min="10" max="10" width="13.59765625" bestFit="1" customWidth="1"/>
    <col min="11" max="255" width="9.06640625" customWidth="1"/>
  </cols>
  <sheetData>
    <row r="1" spans="1:8" ht="15" x14ac:dyDescent="0.4">
      <c r="A1" s="52" t="s">
        <v>0</v>
      </c>
      <c r="B1" s="52"/>
      <c r="C1" s="52"/>
      <c r="D1" s="52"/>
      <c r="E1" s="52"/>
    </row>
    <row r="2" spans="1:8" ht="15" x14ac:dyDescent="0.4">
      <c r="A2" s="52" t="s">
        <v>1</v>
      </c>
      <c r="B2" s="52"/>
      <c r="C2" s="52"/>
      <c r="D2" s="52"/>
      <c r="E2" s="52"/>
    </row>
    <row r="3" spans="1:8" ht="15" x14ac:dyDescent="0.4">
      <c r="A3" s="51" t="s">
        <v>29</v>
      </c>
      <c r="B3" s="51"/>
      <c r="C3" s="51"/>
      <c r="D3" s="51"/>
      <c r="E3" s="51"/>
    </row>
    <row r="4" spans="1:8" ht="13.15" x14ac:dyDescent="0.4">
      <c r="A4" s="1"/>
      <c r="B4" s="3"/>
      <c r="C4" s="3"/>
      <c r="D4" s="3"/>
    </row>
    <row r="5" spans="1:8" x14ac:dyDescent="0.35">
      <c r="A5" s="4" t="s">
        <v>4</v>
      </c>
      <c r="B5" s="4" t="s">
        <v>30</v>
      </c>
      <c r="C5" s="4" t="s">
        <v>117</v>
      </c>
      <c r="D5" s="4" t="s">
        <v>31</v>
      </c>
      <c r="E5" s="4" t="s">
        <v>103</v>
      </c>
      <c r="F5" s="4" t="s">
        <v>32</v>
      </c>
    </row>
    <row r="6" spans="1:8" ht="13.15" x14ac:dyDescent="0.4">
      <c r="A6" s="6" t="s">
        <v>125</v>
      </c>
      <c r="B6" s="14">
        <v>98</v>
      </c>
      <c r="C6" s="14">
        <v>100</v>
      </c>
      <c r="D6" s="16">
        <f>Evaluaciones!F6</f>
        <v>100</v>
      </c>
      <c r="E6" s="16">
        <f t="shared" ref="E6" si="0">D17</f>
        <v>100</v>
      </c>
      <c r="F6" s="17">
        <f>AVERAGE((B6*0.075+C6*0.075+D6*0.05)*5,E6)</f>
        <v>99.625</v>
      </c>
      <c r="H6" s="37">
        <v>7</v>
      </c>
    </row>
    <row r="7" spans="1:8" ht="13.15" x14ac:dyDescent="0.4">
      <c r="A7" s="6" t="s">
        <v>123</v>
      </c>
      <c r="B7" s="14">
        <v>98</v>
      </c>
      <c r="C7" s="14">
        <v>98</v>
      </c>
      <c r="D7" s="16">
        <f>Evaluaciones!F7</f>
        <v>100</v>
      </c>
      <c r="E7" s="16">
        <f t="shared" ref="E7:E13" si="1">D18</f>
        <v>99</v>
      </c>
      <c r="F7" s="17">
        <f>AVERAGE((B7*0.075+C7*0.075+D7*0.05)*5,E7)</f>
        <v>98.75</v>
      </c>
      <c r="H7" s="37">
        <v>2</v>
      </c>
    </row>
    <row r="8" spans="1:8" ht="13.15" x14ac:dyDescent="0.4">
      <c r="A8" s="6" t="s">
        <v>127</v>
      </c>
      <c r="B8" s="14">
        <v>98</v>
      </c>
      <c r="C8" s="14">
        <v>98</v>
      </c>
      <c r="D8" s="16">
        <f>Evaluaciones!F8</f>
        <v>100</v>
      </c>
      <c r="E8" s="16">
        <f t="shared" si="1"/>
        <v>98</v>
      </c>
      <c r="F8" s="17">
        <f t="shared" ref="F8:F13" si="2">AVERAGE((B8*0.075+C8*0.075+D8*0.05)*5,E8)</f>
        <v>98.25</v>
      </c>
      <c r="H8" s="37">
        <v>2</v>
      </c>
    </row>
    <row r="9" spans="1:8" ht="13.15" x14ac:dyDescent="0.4">
      <c r="A9" s="6" t="s">
        <v>131</v>
      </c>
      <c r="B9" s="14">
        <v>100</v>
      </c>
      <c r="C9" s="14">
        <v>100</v>
      </c>
      <c r="D9" s="16">
        <f>Evaluaciones!F9</f>
        <v>100</v>
      </c>
      <c r="E9" s="16">
        <f t="shared" si="1"/>
        <v>100</v>
      </c>
      <c r="F9" s="17">
        <f t="shared" si="2"/>
        <v>100</v>
      </c>
      <c r="H9" s="37">
        <v>6</v>
      </c>
    </row>
    <row r="10" spans="1:8" ht="13.15" x14ac:dyDescent="0.4">
      <c r="A10" s="6" t="s">
        <v>129</v>
      </c>
      <c r="B10" s="14">
        <v>92</v>
      </c>
      <c r="C10" s="14">
        <v>100</v>
      </c>
      <c r="D10" s="16">
        <f>Evaluaciones!F10</f>
        <v>100</v>
      </c>
      <c r="E10" s="16">
        <f t="shared" si="1"/>
        <v>99</v>
      </c>
      <c r="F10" s="17">
        <f t="shared" si="2"/>
        <v>98</v>
      </c>
      <c r="H10" s="37">
        <v>6</v>
      </c>
    </row>
    <row r="11" spans="1:8" ht="13.15" x14ac:dyDescent="0.4">
      <c r="A11" s="6" t="s">
        <v>121</v>
      </c>
      <c r="B11" s="14">
        <v>100</v>
      </c>
      <c r="C11" s="14">
        <v>100</v>
      </c>
      <c r="D11" s="16">
        <f>Evaluaciones!F11</f>
        <v>100</v>
      </c>
      <c r="E11" s="16">
        <f t="shared" si="1"/>
        <v>100</v>
      </c>
      <c r="F11" s="17">
        <f t="shared" si="2"/>
        <v>100</v>
      </c>
      <c r="H11" s="37">
        <v>7</v>
      </c>
    </row>
    <row r="12" spans="1:8" ht="13.15" x14ac:dyDescent="0.4">
      <c r="A12" s="6" t="s">
        <v>133</v>
      </c>
      <c r="B12" s="14">
        <v>98</v>
      </c>
      <c r="C12" s="14">
        <v>98</v>
      </c>
      <c r="D12" s="16">
        <f>Evaluaciones!F12</f>
        <v>100</v>
      </c>
      <c r="E12" s="16">
        <f t="shared" si="1"/>
        <v>100</v>
      </c>
      <c r="F12" s="17">
        <f t="shared" si="2"/>
        <v>99.25</v>
      </c>
      <c r="H12" s="37">
        <v>4</v>
      </c>
    </row>
    <row r="13" spans="1:8" ht="13.15" x14ac:dyDescent="0.4">
      <c r="A13" s="6" t="s">
        <v>135</v>
      </c>
      <c r="B13" s="14">
        <v>98</v>
      </c>
      <c r="C13" s="14">
        <v>98</v>
      </c>
      <c r="D13" s="16">
        <f>Evaluaciones!F13</f>
        <v>100</v>
      </c>
      <c r="E13" s="16">
        <f t="shared" si="1"/>
        <v>100</v>
      </c>
      <c r="F13" s="17">
        <f t="shared" si="2"/>
        <v>99.25</v>
      </c>
      <c r="H13" s="37">
        <v>4</v>
      </c>
    </row>
    <row r="14" spans="1:8" ht="13.15" x14ac:dyDescent="0.4">
      <c r="A14" s="36"/>
    </row>
    <row r="15" spans="1:8" x14ac:dyDescent="0.35">
      <c r="A15" s="53" t="s">
        <v>110</v>
      </c>
      <c r="B15" s="53"/>
      <c r="C15" s="53"/>
      <c r="D15" s="53"/>
      <c r="E15" s="47"/>
      <c r="F15" s="47"/>
    </row>
    <row r="16" spans="1:8" x14ac:dyDescent="0.35">
      <c r="A16" s="4" t="s">
        <v>4</v>
      </c>
      <c r="B16" s="33" t="s">
        <v>93</v>
      </c>
      <c r="C16" s="33" t="s">
        <v>94</v>
      </c>
      <c r="D16" s="34" t="s">
        <v>97</v>
      </c>
    </row>
    <row r="17" spans="1:6" ht="13.15" x14ac:dyDescent="0.4">
      <c r="A17" s="6" t="s">
        <v>125</v>
      </c>
      <c r="B17" s="14">
        <v>100</v>
      </c>
      <c r="C17" s="14">
        <v>100</v>
      </c>
      <c r="D17" s="35">
        <f t="shared" ref="D17:D24" si="3">AVERAGE(B17:C17)</f>
        <v>100</v>
      </c>
      <c r="F17" s="50">
        <v>7</v>
      </c>
    </row>
    <row r="18" spans="1:6" ht="13.15" x14ac:dyDescent="0.4">
      <c r="A18" s="6" t="s">
        <v>123</v>
      </c>
      <c r="B18" s="14">
        <f>49/50*100</f>
        <v>98</v>
      </c>
      <c r="C18" s="14">
        <v>100</v>
      </c>
      <c r="D18" s="35">
        <f t="shared" si="3"/>
        <v>99</v>
      </c>
      <c r="F18" s="50">
        <v>2</v>
      </c>
    </row>
    <row r="19" spans="1:6" ht="13.15" x14ac:dyDescent="0.4">
      <c r="A19" s="6" t="s">
        <v>127</v>
      </c>
      <c r="B19" s="14">
        <f>49/50*100</f>
        <v>98</v>
      </c>
      <c r="C19" s="14">
        <f>49/50*100</f>
        <v>98</v>
      </c>
      <c r="D19" s="35">
        <f t="shared" si="3"/>
        <v>98</v>
      </c>
      <c r="F19" s="50">
        <v>2</v>
      </c>
    </row>
    <row r="20" spans="1:6" ht="13.15" x14ac:dyDescent="0.4">
      <c r="A20" s="6" t="s">
        <v>131</v>
      </c>
      <c r="B20" s="14">
        <v>100</v>
      </c>
      <c r="C20" s="14">
        <v>100</v>
      </c>
      <c r="D20" s="35">
        <f t="shared" si="3"/>
        <v>100</v>
      </c>
      <c r="F20" s="50">
        <v>6</v>
      </c>
    </row>
    <row r="21" spans="1:6" ht="13.15" x14ac:dyDescent="0.4">
      <c r="A21" s="6" t="s">
        <v>129</v>
      </c>
      <c r="B21" s="14">
        <f>49/50*100</f>
        <v>98</v>
      </c>
      <c r="C21" s="14">
        <v>100</v>
      </c>
      <c r="D21" s="35">
        <f t="shared" si="3"/>
        <v>99</v>
      </c>
      <c r="F21" s="50">
        <v>6</v>
      </c>
    </row>
    <row r="22" spans="1:6" ht="13.15" x14ac:dyDescent="0.4">
      <c r="A22" s="6" t="s">
        <v>121</v>
      </c>
      <c r="B22" s="14">
        <v>100</v>
      </c>
      <c r="C22" s="14">
        <v>100</v>
      </c>
      <c r="D22" s="35">
        <f t="shared" si="3"/>
        <v>100</v>
      </c>
      <c r="F22" s="50">
        <v>7</v>
      </c>
    </row>
    <row r="23" spans="1:6" ht="13.15" x14ac:dyDescent="0.4">
      <c r="A23" s="6" t="s">
        <v>133</v>
      </c>
      <c r="B23" s="14">
        <v>100</v>
      </c>
      <c r="C23" s="14">
        <v>100</v>
      </c>
      <c r="D23" s="35">
        <f t="shared" si="3"/>
        <v>100</v>
      </c>
      <c r="F23" s="50">
        <v>4</v>
      </c>
    </row>
    <row r="24" spans="1:6" ht="13.15" x14ac:dyDescent="0.4">
      <c r="A24" s="6" t="s">
        <v>135</v>
      </c>
      <c r="B24" s="14">
        <v>100</v>
      </c>
      <c r="C24" s="14">
        <v>100</v>
      </c>
      <c r="D24" s="35">
        <f t="shared" si="3"/>
        <v>100</v>
      </c>
      <c r="F24" s="50">
        <v>4</v>
      </c>
    </row>
    <row r="25" spans="1:6" ht="13.15" x14ac:dyDescent="0.4">
      <c r="B25" s="45"/>
      <c r="C25" s="45"/>
    </row>
    <row r="26" spans="1:6" ht="13.15" x14ac:dyDescent="0.4">
      <c r="B26" s="45"/>
      <c r="C26" s="45"/>
    </row>
    <row r="27" spans="1:6" ht="13.15" x14ac:dyDescent="0.4">
      <c r="B27" s="45"/>
      <c r="C27" s="45"/>
    </row>
    <row r="28" spans="1:6" x14ac:dyDescent="0.35">
      <c r="B28" s="46"/>
      <c r="C28" s="46"/>
    </row>
    <row r="29" spans="1:6" ht="13.15" x14ac:dyDescent="0.4">
      <c r="B29" s="45"/>
      <c r="C29" s="45"/>
    </row>
    <row r="30" spans="1:6" ht="13.15" x14ac:dyDescent="0.4">
      <c r="B30" s="45"/>
      <c r="C30" s="45"/>
    </row>
    <row r="31" spans="1:6" ht="13.15" x14ac:dyDescent="0.4">
      <c r="B31" s="45"/>
      <c r="C31" s="45"/>
    </row>
    <row r="32" spans="1:6" ht="13.15" x14ac:dyDescent="0.4">
      <c r="B32" s="45"/>
      <c r="C32" s="45"/>
    </row>
    <row r="33" spans="2:3" ht="13.15" x14ac:dyDescent="0.4">
      <c r="B33" s="45"/>
      <c r="C33" s="45"/>
    </row>
    <row r="34" spans="2:3" ht="13.15" x14ac:dyDescent="0.4">
      <c r="B34" s="45"/>
      <c r="C34" s="45"/>
    </row>
    <row r="35" spans="2:3" x14ac:dyDescent="0.35">
      <c r="B35" s="46"/>
      <c r="C35" s="46"/>
    </row>
    <row r="36" spans="2:3" x14ac:dyDescent="0.35">
      <c r="B36" s="46"/>
      <c r="C36" s="46"/>
    </row>
  </sheetData>
  <sheetProtection selectLockedCells="1" selectUnlockedCells="1"/>
  <mergeCells count="4">
    <mergeCell ref="A1:E1"/>
    <mergeCell ref="A2:E2"/>
    <mergeCell ref="A3:E3"/>
    <mergeCell ref="A15:D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workbookViewId="0">
      <selection activeCell="F28" sqref="F28"/>
    </sheetView>
  </sheetViews>
  <sheetFormatPr baseColWidth="10" defaultColWidth="10.6640625" defaultRowHeight="12.75" x14ac:dyDescent="0.35"/>
  <cols>
    <col min="1" max="1" width="10.73046875" customWidth="1"/>
    <col min="2" max="5" width="6.73046875" customWidth="1"/>
    <col min="6" max="6" width="12.73046875" customWidth="1"/>
    <col min="7" max="247" width="9.06640625" customWidth="1"/>
  </cols>
  <sheetData>
    <row r="1" spans="1:8" ht="15" x14ac:dyDescent="0.4">
      <c r="A1" s="52" t="s">
        <v>0</v>
      </c>
      <c r="B1" s="52"/>
      <c r="C1" s="52"/>
      <c r="D1" s="52"/>
      <c r="E1" s="52"/>
      <c r="F1" s="52"/>
    </row>
    <row r="2" spans="1:8" ht="15" x14ac:dyDescent="0.4">
      <c r="A2" s="52" t="s">
        <v>1</v>
      </c>
      <c r="B2" s="52"/>
      <c r="C2" s="52"/>
      <c r="D2" s="52"/>
      <c r="E2" s="52"/>
      <c r="F2" s="52"/>
    </row>
    <row r="3" spans="1:8" ht="15" x14ac:dyDescent="0.4">
      <c r="A3" s="51" t="s">
        <v>33</v>
      </c>
      <c r="B3" s="51"/>
      <c r="C3" s="51"/>
      <c r="D3" s="51"/>
      <c r="E3" s="51"/>
      <c r="F3" s="51"/>
    </row>
    <row r="4" spans="1:8" ht="13.15" x14ac:dyDescent="0.4">
      <c r="A4" s="1"/>
      <c r="B4" s="3"/>
      <c r="C4" s="3"/>
      <c r="D4" s="3"/>
      <c r="E4" s="3"/>
    </row>
    <row r="5" spans="1:8" x14ac:dyDescent="0.35">
      <c r="A5" s="4" t="s">
        <v>4</v>
      </c>
      <c r="B5" s="4" t="s">
        <v>34</v>
      </c>
      <c r="C5" s="4" t="s">
        <v>35</v>
      </c>
      <c r="D5" s="4" t="s">
        <v>36</v>
      </c>
      <c r="E5" s="4" t="s">
        <v>37</v>
      </c>
      <c r="F5" s="4" t="s">
        <v>32</v>
      </c>
    </row>
    <row r="6" spans="1:8" ht="13.15" x14ac:dyDescent="0.4">
      <c r="A6" s="6" t="s">
        <v>125</v>
      </c>
      <c r="B6" s="14">
        <v>1</v>
      </c>
      <c r="C6" s="14">
        <v>1</v>
      </c>
      <c r="D6" s="14">
        <v>1</v>
      </c>
      <c r="E6" s="14">
        <v>1</v>
      </c>
      <c r="F6" s="9">
        <f>AVERAGE(B6:E6)*100</f>
        <v>100</v>
      </c>
      <c r="H6" s="37"/>
    </row>
    <row r="7" spans="1:8" ht="13.15" x14ac:dyDescent="0.4">
      <c r="A7" s="6" t="s">
        <v>123</v>
      </c>
      <c r="B7" s="14">
        <v>1</v>
      </c>
      <c r="C7" s="14">
        <v>1</v>
      </c>
      <c r="D7" s="14">
        <v>1</v>
      </c>
      <c r="E7" s="14">
        <v>1</v>
      </c>
      <c r="F7" s="9">
        <f t="shared" ref="F7:F13" si="0">AVERAGE(B7:E7)*100</f>
        <v>100</v>
      </c>
      <c r="H7" s="37"/>
    </row>
    <row r="8" spans="1:8" ht="13.15" x14ac:dyDescent="0.4">
      <c r="A8" s="6" t="s">
        <v>127</v>
      </c>
      <c r="B8" s="14">
        <v>1</v>
      </c>
      <c r="C8" s="14">
        <v>1</v>
      </c>
      <c r="D8" s="14">
        <v>1</v>
      </c>
      <c r="E8" s="14">
        <v>1</v>
      </c>
      <c r="F8" s="9">
        <f t="shared" si="0"/>
        <v>100</v>
      </c>
      <c r="H8" s="37"/>
    </row>
    <row r="9" spans="1:8" ht="13.15" x14ac:dyDescent="0.4">
      <c r="A9" s="6" t="s">
        <v>131</v>
      </c>
      <c r="B9" s="14">
        <v>1</v>
      </c>
      <c r="C9" s="14">
        <v>1</v>
      </c>
      <c r="D9" s="14">
        <v>1</v>
      </c>
      <c r="E9" s="14">
        <v>1</v>
      </c>
      <c r="F9" s="9">
        <f t="shared" si="0"/>
        <v>100</v>
      </c>
      <c r="H9" s="37"/>
    </row>
    <row r="10" spans="1:8" ht="13.15" x14ac:dyDescent="0.4">
      <c r="A10" s="6" t="s">
        <v>129</v>
      </c>
      <c r="B10" s="14">
        <v>1</v>
      </c>
      <c r="C10" s="14">
        <v>1</v>
      </c>
      <c r="D10" s="14">
        <v>1</v>
      </c>
      <c r="E10" s="14">
        <v>1</v>
      </c>
      <c r="F10" s="9">
        <f t="shared" si="0"/>
        <v>100</v>
      </c>
      <c r="H10" s="37"/>
    </row>
    <row r="11" spans="1:8" ht="13.15" x14ac:dyDescent="0.4">
      <c r="A11" s="6" t="s">
        <v>121</v>
      </c>
      <c r="B11" s="14">
        <v>1</v>
      </c>
      <c r="C11" s="14">
        <v>1</v>
      </c>
      <c r="D11" s="14">
        <v>1</v>
      </c>
      <c r="E11" s="14">
        <v>1</v>
      </c>
      <c r="F11" s="9">
        <f t="shared" si="0"/>
        <v>100</v>
      </c>
      <c r="H11" s="37"/>
    </row>
    <row r="12" spans="1:8" ht="13.15" x14ac:dyDescent="0.4">
      <c r="A12" s="6" t="s">
        <v>133</v>
      </c>
      <c r="B12" s="14">
        <v>1</v>
      </c>
      <c r="C12" s="14">
        <v>1</v>
      </c>
      <c r="D12" s="14">
        <v>1</v>
      </c>
      <c r="E12" s="14">
        <v>1</v>
      </c>
      <c r="F12" s="9">
        <f t="shared" si="0"/>
        <v>100</v>
      </c>
      <c r="H12" s="37"/>
    </row>
    <row r="13" spans="1:8" ht="13.15" x14ac:dyDescent="0.4">
      <c r="A13" s="6" t="s">
        <v>135</v>
      </c>
      <c r="B13" s="14">
        <v>1</v>
      </c>
      <c r="C13" s="14">
        <v>1</v>
      </c>
      <c r="D13" s="14">
        <v>1</v>
      </c>
      <c r="E13" s="14">
        <v>1</v>
      </c>
      <c r="F13" s="9">
        <f t="shared" si="0"/>
        <v>100</v>
      </c>
      <c r="H13" s="37"/>
    </row>
  </sheetData>
  <sheetProtection selectLockedCells="1" selectUnlockedCells="1"/>
  <mergeCells count="3">
    <mergeCell ref="A1:F1"/>
    <mergeCell ref="A2:F2"/>
    <mergeCell ref="A3:F3"/>
  </mergeCells>
  <pageMargins left="0.75" right="0.75" top="1" bottom="1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4"/>
  <sheetViews>
    <sheetView workbookViewId="0">
      <pane xSplit="1" ySplit="5" topLeftCell="B6" activePane="bottomRight" state="frozen"/>
      <selection pane="topRight" activeCell="H1" sqref="H1"/>
      <selection pane="bottomLeft" activeCell="A9" sqref="A9"/>
      <selection pane="bottomRight" activeCell="E36" sqref="E36"/>
    </sheetView>
  </sheetViews>
  <sheetFormatPr baseColWidth="10" defaultColWidth="10.6640625" defaultRowHeight="12.75" x14ac:dyDescent="0.35"/>
  <cols>
    <col min="1" max="1" width="10.73046875" customWidth="1"/>
    <col min="2" max="14" width="11.73046875" customWidth="1"/>
    <col min="15" max="15" width="13.1328125" bestFit="1" customWidth="1"/>
    <col min="16" max="255" width="9.06640625" customWidth="1"/>
  </cols>
  <sheetData>
    <row r="1" spans="1:17" ht="15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7" ht="15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7" ht="15" x14ac:dyDescent="0.4">
      <c r="A3" s="51" t="s">
        <v>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13.15" x14ac:dyDescent="0.4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x14ac:dyDescent="0.35">
      <c r="A5" s="4" t="s">
        <v>4</v>
      </c>
      <c r="B5" s="4" t="s">
        <v>39</v>
      </c>
      <c r="C5" s="4" t="s">
        <v>103</v>
      </c>
      <c r="D5" s="4" t="s">
        <v>40</v>
      </c>
      <c r="E5" s="4" t="s">
        <v>41</v>
      </c>
      <c r="F5" s="4" t="s">
        <v>103</v>
      </c>
      <c r="G5" s="4" t="s">
        <v>42</v>
      </c>
      <c r="H5" s="4" t="s">
        <v>43</v>
      </c>
      <c r="I5" s="4" t="s">
        <v>103</v>
      </c>
      <c r="J5" s="4" t="s">
        <v>44</v>
      </c>
      <c r="K5" s="4" t="s">
        <v>45</v>
      </c>
      <c r="L5" s="4" t="s">
        <v>103</v>
      </c>
      <c r="M5" s="4" t="s">
        <v>46</v>
      </c>
      <c r="N5" s="4" t="s">
        <v>47</v>
      </c>
      <c r="O5" s="4" t="s">
        <v>48</v>
      </c>
    </row>
    <row r="6" spans="1:17" ht="13.15" x14ac:dyDescent="0.4">
      <c r="A6" s="6" t="s">
        <v>125</v>
      </c>
      <c r="B6" s="14">
        <v>100</v>
      </c>
      <c r="C6" s="14">
        <f t="shared" ref="C6" si="0">F17</f>
        <v>98.333333333333329</v>
      </c>
      <c r="D6" s="18">
        <f>AVERAGE(B6:C6)</f>
        <v>99.166666666666657</v>
      </c>
      <c r="E6" s="14">
        <v>95</v>
      </c>
      <c r="F6" s="14">
        <f t="shared" ref="F6:F13" si="1">F27</f>
        <v>100</v>
      </c>
      <c r="G6" s="18">
        <f>AVERAGE(E6:F6)</f>
        <v>97.5</v>
      </c>
      <c r="H6" s="14">
        <v>100</v>
      </c>
      <c r="I6" s="14">
        <f t="shared" ref="I6:I13" si="2">F37</f>
        <v>100</v>
      </c>
      <c r="J6" s="18">
        <f>AVERAGE(H6:I6)</f>
        <v>100</v>
      </c>
      <c r="K6" s="14">
        <v>100</v>
      </c>
      <c r="L6" s="14">
        <f t="shared" ref="L6:L13" si="3">F47</f>
        <v>98.8888888888889</v>
      </c>
      <c r="M6" s="18">
        <f>AVERAGE(K6:L6)</f>
        <v>99.444444444444457</v>
      </c>
      <c r="N6" s="14">
        <v>0</v>
      </c>
      <c r="O6" s="9">
        <f>AVERAGE(D6,G6,J6,M6)+N6</f>
        <v>99.027777777777771</v>
      </c>
      <c r="Q6" s="37">
        <v>2</v>
      </c>
    </row>
    <row r="7" spans="1:17" ht="13.15" x14ac:dyDescent="0.4">
      <c r="A7" s="6" t="s">
        <v>123</v>
      </c>
      <c r="B7" s="14">
        <v>100</v>
      </c>
      <c r="C7" s="14">
        <f t="shared" ref="C7:C13" si="4">F18</f>
        <v>99.166666666666671</v>
      </c>
      <c r="D7" s="18">
        <f>AVERAGE(B7:C7)</f>
        <v>99.583333333333343</v>
      </c>
      <c r="E7" s="14">
        <v>95</v>
      </c>
      <c r="F7" s="14">
        <f t="shared" si="1"/>
        <v>99.166666666666671</v>
      </c>
      <c r="G7" s="18">
        <f>AVERAGE(E7:F7)</f>
        <v>97.083333333333343</v>
      </c>
      <c r="H7" s="14">
        <v>100</v>
      </c>
      <c r="I7" s="14">
        <f t="shared" si="2"/>
        <v>97.5</v>
      </c>
      <c r="J7" s="18">
        <f>AVERAGE(H7:I7)</f>
        <v>98.75</v>
      </c>
      <c r="K7" s="14">
        <v>100</v>
      </c>
      <c r="L7" s="14">
        <f t="shared" si="3"/>
        <v>96.666666666666671</v>
      </c>
      <c r="M7" s="18">
        <f>AVERAGE(K7:L7)</f>
        <v>98.333333333333343</v>
      </c>
      <c r="N7" s="14">
        <v>0</v>
      </c>
      <c r="O7" s="9">
        <f>AVERAGE(D7,G7,J7,M7)+N7</f>
        <v>98.4375</v>
      </c>
      <c r="Q7" s="37">
        <v>2</v>
      </c>
    </row>
    <row r="8" spans="1:17" ht="13.15" x14ac:dyDescent="0.4">
      <c r="A8" s="6" t="s">
        <v>127</v>
      </c>
      <c r="B8" s="14">
        <v>100</v>
      </c>
      <c r="C8" s="14">
        <f t="shared" si="4"/>
        <v>100</v>
      </c>
      <c r="D8" s="18">
        <f t="shared" ref="D8:D13" si="5">AVERAGE(B8:C8)</f>
        <v>100</v>
      </c>
      <c r="E8" s="14">
        <v>95</v>
      </c>
      <c r="F8" s="14">
        <f t="shared" si="1"/>
        <v>99.166666666666671</v>
      </c>
      <c r="G8" s="18">
        <f t="shared" ref="G8:G13" si="6">AVERAGE(E8:F8)</f>
        <v>97.083333333333343</v>
      </c>
      <c r="H8" s="14">
        <v>100</v>
      </c>
      <c r="I8" s="14">
        <f t="shared" si="2"/>
        <v>98.333333333333329</v>
      </c>
      <c r="J8" s="18">
        <f t="shared" ref="J8:J13" si="7">AVERAGE(H8:I8)</f>
        <v>99.166666666666657</v>
      </c>
      <c r="K8" s="14">
        <v>100</v>
      </c>
      <c r="L8" s="14">
        <f t="shared" si="3"/>
        <v>93.333333333333329</v>
      </c>
      <c r="M8" s="18">
        <f t="shared" ref="M8:M13" si="8">AVERAGE(K8:L8)</f>
        <v>96.666666666666657</v>
      </c>
      <c r="N8" s="14">
        <v>0</v>
      </c>
      <c r="O8" s="9">
        <f t="shared" ref="O8:O13" si="9">AVERAGE(D8,G8,J8,M8)+N8</f>
        <v>98.229166666666657</v>
      </c>
      <c r="Q8" s="37">
        <v>2</v>
      </c>
    </row>
    <row r="9" spans="1:17" ht="13.15" x14ac:dyDescent="0.4">
      <c r="A9" s="6" t="s">
        <v>131</v>
      </c>
      <c r="B9" s="14">
        <v>100</v>
      </c>
      <c r="C9" s="14">
        <f t="shared" si="4"/>
        <v>100</v>
      </c>
      <c r="D9" s="18">
        <f t="shared" si="5"/>
        <v>100</v>
      </c>
      <c r="E9" s="14">
        <v>98</v>
      </c>
      <c r="F9" s="14">
        <f t="shared" si="1"/>
        <v>100</v>
      </c>
      <c r="G9" s="18">
        <f t="shared" si="6"/>
        <v>99</v>
      </c>
      <c r="H9" s="14">
        <v>100</v>
      </c>
      <c r="I9" s="14">
        <f t="shared" si="2"/>
        <v>100</v>
      </c>
      <c r="J9" s="18">
        <f t="shared" si="7"/>
        <v>100</v>
      </c>
      <c r="K9" s="14">
        <v>100</v>
      </c>
      <c r="L9" s="14">
        <f t="shared" si="3"/>
        <v>100</v>
      </c>
      <c r="M9" s="18">
        <f t="shared" si="8"/>
        <v>100</v>
      </c>
      <c r="N9" s="14">
        <v>0</v>
      </c>
      <c r="O9" s="9">
        <f t="shared" si="9"/>
        <v>99.75</v>
      </c>
      <c r="Q9" s="37">
        <v>1</v>
      </c>
    </row>
    <row r="10" spans="1:17" ht="13.15" x14ac:dyDescent="0.4">
      <c r="A10" s="6" t="s">
        <v>129</v>
      </c>
      <c r="B10" s="14">
        <v>100</v>
      </c>
      <c r="C10" s="14">
        <f t="shared" si="4"/>
        <v>100</v>
      </c>
      <c r="D10" s="18">
        <f t="shared" si="5"/>
        <v>100</v>
      </c>
      <c r="E10" s="14">
        <v>98</v>
      </c>
      <c r="F10" s="14">
        <f t="shared" si="1"/>
        <v>90</v>
      </c>
      <c r="G10" s="18">
        <f t="shared" si="6"/>
        <v>94</v>
      </c>
      <c r="H10" s="14">
        <v>100</v>
      </c>
      <c r="I10" s="14">
        <f t="shared" si="2"/>
        <v>100</v>
      </c>
      <c r="J10" s="18">
        <f t="shared" si="7"/>
        <v>100</v>
      </c>
      <c r="K10" s="14">
        <v>100</v>
      </c>
      <c r="L10" s="14">
        <f t="shared" si="3"/>
        <v>100</v>
      </c>
      <c r="M10" s="18">
        <f t="shared" si="8"/>
        <v>100</v>
      </c>
      <c r="N10" s="14">
        <v>0</v>
      </c>
      <c r="O10" s="9">
        <f t="shared" si="9"/>
        <v>98.5</v>
      </c>
      <c r="Q10" s="37">
        <v>1</v>
      </c>
    </row>
    <row r="11" spans="1:17" ht="13.15" x14ac:dyDescent="0.4">
      <c r="A11" s="6" t="s">
        <v>121</v>
      </c>
      <c r="B11" s="14">
        <v>100</v>
      </c>
      <c r="C11" s="14">
        <f t="shared" si="4"/>
        <v>100</v>
      </c>
      <c r="D11" s="18">
        <f t="shared" si="5"/>
        <v>100</v>
      </c>
      <c r="E11" s="14">
        <v>95</v>
      </c>
      <c r="F11" s="14">
        <f t="shared" si="1"/>
        <v>100</v>
      </c>
      <c r="G11" s="18">
        <f t="shared" si="6"/>
        <v>97.5</v>
      </c>
      <c r="H11" s="14">
        <v>100</v>
      </c>
      <c r="I11" s="14">
        <f t="shared" si="2"/>
        <v>100</v>
      </c>
      <c r="J11" s="18">
        <f t="shared" si="7"/>
        <v>100</v>
      </c>
      <c r="K11" s="14">
        <v>100</v>
      </c>
      <c r="L11" s="14">
        <f t="shared" si="3"/>
        <v>100</v>
      </c>
      <c r="M11" s="18">
        <f t="shared" si="8"/>
        <v>100</v>
      </c>
      <c r="N11" s="14">
        <v>0</v>
      </c>
      <c r="O11" s="9">
        <f t="shared" si="9"/>
        <v>99.375</v>
      </c>
      <c r="Q11" s="37">
        <v>2</v>
      </c>
    </row>
    <row r="12" spans="1:17" ht="13.15" x14ac:dyDescent="0.4">
      <c r="A12" s="6" t="s">
        <v>133</v>
      </c>
      <c r="B12" s="14">
        <v>100</v>
      </c>
      <c r="C12" s="14">
        <f t="shared" si="4"/>
        <v>100</v>
      </c>
      <c r="D12" s="18">
        <f t="shared" si="5"/>
        <v>100</v>
      </c>
      <c r="E12" s="14">
        <v>98</v>
      </c>
      <c r="F12" s="14">
        <f t="shared" si="1"/>
        <v>100</v>
      </c>
      <c r="G12" s="18">
        <f t="shared" si="6"/>
        <v>99</v>
      </c>
      <c r="H12" s="14">
        <v>100</v>
      </c>
      <c r="I12" s="14">
        <f t="shared" si="2"/>
        <v>100</v>
      </c>
      <c r="J12" s="18">
        <f t="shared" si="7"/>
        <v>100</v>
      </c>
      <c r="K12" s="14">
        <v>100</v>
      </c>
      <c r="L12" s="14">
        <f t="shared" si="3"/>
        <v>98.333333333333329</v>
      </c>
      <c r="M12" s="18">
        <f t="shared" si="8"/>
        <v>99.166666666666657</v>
      </c>
      <c r="N12" s="14">
        <v>0</v>
      </c>
      <c r="O12" s="9">
        <f t="shared" si="9"/>
        <v>99.541666666666657</v>
      </c>
      <c r="Q12" s="37">
        <v>1</v>
      </c>
    </row>
    <row r="13" spans="1:17" ht="13.15" x14ac:dyDescent="0.4">
      <c r="A13" s="6" t="s">
        <v>135</v>
      </c>
      <c r="B13" s="14">
        <v>100</v>
      </c>
      <c r="C13" s="14">
        <f t="shared" si="4"/>
        <v>100</v>
      </c>
      <c r="D13" s="18">
        <f t="shared" si="5"/>
        <v>100</v>
      </c>
      <c r="E13" s="14">
        <v>98</v>
      </c>
      <c r="F13" s="14">
        <f t="shared" si="1"/>
        <v>99.166666666666671</v>
      </c>
      <c r="G13" s="18">
        <f t="shared" si="6"/>
        <v>98.583333333333343</v>
      </c>
      <c r="H13" s="14">
        <v>100</v>
      </c>
      <c r="I13" s="14">
        <f t="shared" si="2"/>
        <v>100</v>
      </c>
      <c r="J13" s="18">
        <f t="shared" si="7"/>
        <v>100</v>
      </c>
      <c r="K13" s="14">
        <v>100</v>
      </c>
      <c r="L13" s="14">
        <f t="shared" si="3"/>
        <v>100</v>
      </c>
      <c r="M13" s="18">
        <f t="shared" si="8"/>
        <v>100</v>
      </c>
      <c r="N13" s="14">
        <v>0</v>
      </c>
      <c r="O13" s="9">
        <f t="shared" si="9"/>
        <v>99.645833333333343</v>
      </c>
      <c r="Q13" s="37">
        <v>1</v>
      </c>
    </row>
    <row r="15" spans="1:17" x14ac:dyDescent="0.35">
      <c r="B15" s="53" t="s">
        <v>111</v>
      </c>
      <c r="C15" s="53"/>
      <c r="D15" s="53"/>
      <c r="E15" s="53"/>
      <c r="F15" s="53"/>
    </row>
    <row r="16" spans="1:17" x14ac:dyDescent="0.35">
      <c r="A16" s="4" t="s">
        <v>4</v>
      </c>
      <c r="B16" s="33" t="s">
        <v>93</v>
      </c>
      <c r="C16" s="33" t="s">
        <v>94</v>
      </c>
      <c r="D16" s="33" t="s">
        <v>95</v>
      </c>
      <c r="E16" s="34" t="s">
        <v>96</v>
      </c>
      <c r="F16" s="34" t="s">
        <v>97</v>
      </c>
    </row>
    <row r="17" spans="1:8" ht="13.15" x14ac:dyDescent="0.4">
      <c r="A17" s="6" t="s">
        <v>125</v>
      </c>
      <c r="B17" s="14">
        <v>100</v>
      </c>
      <c r="C17" s="14">
        <f>28/30*100</f>
        <v>93.333333333333329</v>
      </c>
      <c r="D17" s="14">
        <v>100</v>
      </c>
      <c r="E17" s="14">
        <v>100</v>
      </c>
      <c r="F17" s="35">
        <f>AVERAGE(B17:E17)</f>
        <v>98.333333333333329</v>
      </c>
      <c r="H17" s="50">
        <v>2</v>
      </c>
    </row>
    <row r="18" spans="1:8" ht="13.15" x14ac:dyDescent="0.4">
      <c r="A18" s="6" t="s">
        <v>123</v>
      </c>
      <c r="B18" s="14">
        <v>100</v>
      </c>
      <c r="C18" s="14">
        <f>29/30*100</f>
        <v>96.666666666666671</v>
      </c>
      <c r="D18" s="14">
        <v>100</v>
      </c>
      <c r="E18" s="14">
        <v>100</v>
      </c>
      <c r="F18" s="35">
        <f>AVERAGE(B18:E18)</f>
        <v>99.166666666666671</v>
      </c>
      <c r="H18" s="50">
        <v>2</v>
      </c>
    </row>
    <row r="19" spans="1:8" ht="13.15" x14ac:dyDescent="0.4">
      <c r="A19" s="6" t="s">
        <v>127</v>
      </c>
      <c r="B19" s="14">
        <v>100</v>
      </c>
      <c r="C19" s="14">
        <v>100</v>
      </c>
      <c r="D19" s="14">
        <v>100</v>
      </c>
      <c r="E19" s="14">
        <v>100</v>
      </c>
      <c r="F19" s="35">
        <f t="shared" ref="F19:F24" si="10">AVERAGE(B19:E19)</f>
        <v>100</v>
      </c>
      <c r="H19" s="50">
        <v>2</v>
      </c>
    </row>
    <row r="20" spans="1:8" ht="13.15" x14ac:dyDescent="0.4">
      <c r="A20" s="6" t="s">
        <v>131</v>
      </c>
      <c r="B20" s="14">
        <v>100</v>
      </c>
      <c r="C20" s="14">
        <v>100</v>
      </c>
      <c r="D20" s="14">
        <v>100</v>
      </c>
      <c r="E20" s="14">
        <v>100</v>
      </c>
      <c r="F20" s="35">
        <f t="shared" si="10"/>
        <v>100</v>
      </c>
      <c r="H20" s="50">
        <v>1</v>
      </c>
    </row>
    <row r="21" spans="1:8" ht="13.15" x14ac:dyDescent="0.4">
      <c r="A21" s="6" t="s">
        <v>129</v>
      </c>
      <c r="B21" s="14">
        <v>100</v>
      </c>
      <c r="C21" s="14">
        <v>100</v>
      </c>
      <c r="D21" s="14">
        <v>100</v>
      </c>
      <c r="E21" s="14">
        <v>100</v>
      </c>
      <c r="F21" s="35">
        <f t="shared" si="10"/>
        <v>100</v>
      </c>
      <c r="H21" s="50">
        <v>1</v>
      </c>
    </row>
    <row r="22" spans="1:8" ht="13.15" x14ac:dyDescent="0.4">
      <c r="A22" s="6" t="s">
        <v>121</v>
      </c>
      <c r="B22" s="14">
        <v>100</v>
      </c>
      <c r="C22" s="14">
        <v>100</v>
      </c>
      <c r="D22" s="14">
        <v>100</v>
      </c>
      <c r="E22" s="14">
        <v>100</v>
      </c>
      <c r="F22" s="35">
        <f t="shared" si="10"/>
        <v>100</v>
      </c>
      <c r="H22" s="50">
        <v>2</v>
      </c>
    </row>
    <row r="23" spans="1:8" ht="13.15" x14ac:dyDescent="0.4">
      <c r="A23" s="6" t="s">
        <v>133</v>
      </c>
      <c r="B23" s="14">
        <v>100</v>
      </c>
      <c r="C23" s="14">
        <v>100</v>
      </c>
      <c r="D23" s="14">
        <v>100</v>
      </c>
      <c r="E23" s="14">
        <v>100</v>
      </c>
      <c r="F23" s="35">
        <f t="shared" si="10"/>
        <v>100</v>
      </c>
      <c r="H23" s="50">
        <v>1</v>
      </c>
    </row>
    <row r="24" spans="1:8" ht="13.15" x14ac:dyDescent="0.4">
      <c r="A24" s="6" t="s">
        <v>135</v>
      </c>
      <c r="B24" s="14">
        <v>100</v>
      </c>
      <c r="C24" s="14">
        <v>100</v>
      </c>
      <c r="D24" s="14">
        <v>100</v>
      </c>
      <c r="E24" s="14">
        <v>100</v>
      </c>
      <c r="F24" s="35">
        <f t="shared" si="10"/>
        <v>100</v>
      </c>
      <c r="H24" s="50">
        <v>1</v>
      </c>
    </row>
    <row r="25" spans="1:8" x14ac:dyDescent="0.35">
      <c r="B25" s="53" t="s">
        <v>114</v>
      </c>
      <c r="C25" s="53"/>
      <c r="D25" s="53"/>
      <c r="E25" s="53"/>
      <c r="F25" s="53"/>
    </row>
    <row r="26" spans="1:8" x14ac:dyDescent="0.35">
      <c r="A26" s="4" t="s">
        <v>4</v>
      </c>
      <c r="B26" s="33" t="s">
        <v>93</v>
      </c>
      <c r="C26" s="33" t="s">
        <v>94</v>
      </c>
      <c r="D26" s="33" t="s">
        <v>95</v>
      </c>
      <c r="E26" s="34" t="s">
        <v>96</v>
      </c>
      <c r="F26" s="34" t="s">
        <v>97</v>
      </c>
    </row>
    <row r="27" spans="1:8" ht="13.15" x14ac:dyDescent="0.4">
      <c r="A27" s="6" t="s">
        <v>125</v>
      </c>
      <c r="B27" s="14">
        <v>100</v>
      </c>
      <c r="C27" s="14">
        <v>100</v>
      </c>
      <c r="D27" s="14">
        <v>100</v>
      </c>
      <c r="E27" s="14">
        <v>100</v>
      </c>
      <c r="F27" s="35">
        <f>AVERAGE(B27:E27)</f>
        <v>100</v>
      </c>
      <c r="H27" s="50">
        <v>2</v>
      </c>
    </row>
    <row r="28" spans="1:8" ht="13.15" x14ac:dyDescent="0.4">
      <c r="A28" s="6" t="s">
        <v>123</v>
      </c>
      <c r="B28" s="14">
        <v>100</v>
      </c>
      <c r="C28" s="14">
        <f>29/30*100</f>
        <v>96.666666666666671</v>
      </c>
      <c r="D28" s="14">
        <v>100</v>
      </c>
      <c r="E28" s="14">
        <v>100</v>
      </c>
      <c r="F28" s="35">
        <f>AVERAGE(B28:E28)</f>
        <v>99.166666666666671</v>
      </c>
      <c r="H28" s="50">
        <v>2</v>
      </c>
    </row>
    <row r="29" spans="1:8" ht="13.15" x14ac:dyDescent="0.4">
      <c r="A29" s="6" t="s">
        <v>127</v>
      </c>
      <c r="B29" s="14">
        <v>100</v>
      </c>
      <c r="C29" s="14">
        <f>29/30*100</f>
        <v>96.666666666666671</v>
      </c>
      <c r="D29" s="14">
        <v>100</v>
      </c>
      <c r="E29" s="14">
        <v>100</v>
      </c>
      <c r="F29" s="35">
        <f t="shared" ref="F29:F34" si="11">AVERAGE(B29:E29)</f>
        <v>99.166666666666671</v>
      </c>
      <c r="H29" s="50">
        <v>2</v>
      </c>
    </row>
    <row r="30" spans="1:8" ht="13.15" x14ac:dyDescent="0.4">
      <c r="A30" s="6" t="s">
        <v>131</v>
      </c>
      <c r="B30" s="14">
        <v>100</v>
      </c>
      <c r="C30" s="14">
        <v>100</v>
      </c>
      <c r="D30" s="14">
        <v>100</v>
      </c>
      <c r="E30" s="14">
        <v>100</v>
      </c>
      <c r="F30" s="35">
        <f t="shared" si="11"/>
        <v>100</v>
      </c>
      <c r="H30" s="50">
        <v>1</v>
      </c>
    </row>
    <row r="31" spans="1:8" ht="13.15" x14ac:dyDescent="0.4">
      <c r="A31" s="6" t="s">
        <v>129</v>
      </c>
      <c r="B31" s="14">
        <f>29/30*100</f>
        <v>96.666666666666671</v>
      </c>
      <c r="C31" s="14">
        <f>25/30*100</f>
        <v>83.333333333333343</v>
      </c>
      <c r="D31" s="14">
        <f>27/30*100</f>
        <v>90</v>
      </c>
      <c r="E31" s="14">
        <f>27/30*100</f>
        <v>90</v>
      </c>
      <c r="F31" s="35">
        <f t="shared" si="11"/>
        <v>90</v>
      </c>
      <c r="H31" s="50">
        <v>1</v>
      </c>
    </row>
    <row r="32" spans="1:8" ht="13.15" x14ac:dyDescent="0.4">
      <c r="A32" s="6" t="s">
        <v>121</v>
      </c>
      <c r="B32" s="14">
        <v>100</v>
      </c>
      <c r="C32" s="14">
        <v>100</v>
      </c>
      <c r="D32" s="14">
        <v>100</v>
      </c>
      <c r="E32" s="14">
        <v>100</v>
      </c>
      <c r="F32" s="35">
        <f t="shared" si="11"/>
        <v>100</v>
      </c>
      <c r="H32" s="50">
        <v>2</v>
      </c>
    </row>
    <row r="33" spans="1:8" ht="13.15" x14ac:dyDescent="0.4">
      <c r="A33" s="6" t="s">
        <v>133</v>
      </c>
      <c r="B33" s="14">
        <v>100</v>
      </c>
      <c r="C33" s="14">
        <v>100</v>
      </c>
      <c r="D33" s="14">
        <v>100</v>
      </c>
      <c r="E33" s="14">
        <v>100</v>
      </c>
      <c r="F33" s="35">
        <f t="shared" si="11"/>
        <v>100</v>
      </c>
      <c r="H33" s="50">
        <v>1</v>
      </c>
    </row>
    <row r="34" spans="1:8" ht="13.15" x14ac:dyDescent="0.4">
      <c r="A34" s="6" t="s">
        <v>135</v>
      </c>
      <c r="B34" s="14">
        <f>29/30*100</f>
        <v>96.666666666666671</v>
      </c>
      <c r="C34" s="14">
        <v>100</v>
      </c>
      <c r="D34" s="14">
        <v>100</v>
      </c>
      <c r="E34" s="14">
        <v>100</v>
      </c>
      <c r="F34" s="35">
        <f t="shared" si="11"/>
        <v>99.166666666666671</v>
      </c>
      <c r="H34" s="50">
        <v>1</v>
      </c>
    </row>
    <row r="35" spans="1:8" x14ac:dyDescent="0.35">
      <c r="B35" s="53" t="s">
        <v>113</v>
      </c>
      <c r="C35" s="53"/>
      <c r="D35" s="53"/>
      <c r="E35" s="53"/>
      <c r="F35" s="53"/>
    </row>
    <row r="36" spans="1:8" x14ac:dyDescent="0.35">
      <c r="A36" s="4" t="s">
        <v>4</v>
      </c>
      <c r="B36" s="33" t="s">
        <v>93</v>
      </c>
      <c r="C36" s="33" t="s">
        <v>94</v>
      </c>
      <c r="D36" s="33" t="s">
        <v>95</v>
      </c>
      <c r="E36" s="34" t="s">
        <v>96</v>
      </c>
      <c r="F36" s="34" t="s">
        <v>97</v>
      </c>
    </row>
    <row r="37" spans="1:8" ht="13.15" x14ac:dyDescent="0.4">
      <c r="A37" s="6" t="s">
        <v>125</v>
      </c>
      <c r="B37" s="14">
        <v>100</v>
      </c>
      <c r="C37" s="14">
        <v>100</v>
      </c>
      <c r="D37" s="14">
        <v>100</v>
      </c>
      <c r="E37" s="14">
        <v>100</v>
      </c>
      <c r="F37" s="35">
        <f>AVERAGE(B37:E37)</f>
        <v>100</v>
      </c>
      <c r="H37" s="50">
        <v>2</v>
      </c>
    </row>
    <row r="38" spans="1:8" ht="13.15" x14ac:dyDescent="0.4">
      <c r="A38" s="6" t="s">
        <v>123</v>
      </c>
      <c r="B38" s="14">
        <v>100</v>
      </c>
      <c r="C38" s="14">
        <f>27/30*100</f>
        <v>90</v>
      </c>
      <c r="D38" s="14">
        <v>100</v>
      </c>
      <c r="E38" s="14">
        <v>100</v>
      </c>
      <c r="F38" s="35">
        <f>AVERAGE(B38:E38)</f>
        <v>97.5</v>
      </c>
      <c r="H38" s="50">
        <v>2</v>
      </c>
    </row>
    <row r="39" spans="1:8" ht="13.15" x14ac:dyDescent="0.4">
      <c r="A39" s="6" t="s">
        <v>127</v>
      </c>
      <c r="B39" s="14">
        <v>100</v>
      </c>
      <c r="C39" s="14">
        <f>28/30*100</f>
        <v>93.333333333333329</v>
      </c>
      <c r="D39" s="14">
        <v>100</v>
      </c>
      <c r="E39" s="14">
        <v>100</v>
      </c>
      <c r="F39" s="35">
        <f t="shared" ref="F39:F44" si="12">AVERAGE(B39:E39)</f>
        <v>98.333333333333329</v>
      </c>
      <c r="H39" s="50">
        <v>2</v>
      </c>
    </row>
    <row r="40" spans="1:8" ht="13.15" x14ac:dyDescent="0.4">
      <c r="A40" s="6" t="s">
        <v>131</v>
      </c>
      <c r="B40" s="14">
        <v>100</v>
      </c>
      <c r="C40" s="14">
        <v>100</v>
      </c>
      <c r="D40" s="14">
        <v>100</v>
      </c>
      <c r="E40" s="14">
        <v>100</v>
      </c>
      <c r="F40" s="35">
        <f t="shared" si="12"/>
        <v>100</v>
      </c>
      <c r="H40" s="50">
        <v>1</v>
      </c>
    </row>
    <row r="41" spans="1:8" ht="13.15" x14ac:dyDescent="0.4">
      <c r="A41" s="6" t="s">
        <v>129</v>
      </c>
      <c r="B41" s="14">
        <v>100</v>
      </c>
      <c r="C41" s="14">
        <v>100</v>
      </c>
      <c r="D41" s="14">
        <v>100</v>
      </c>
      <c r="E41" s="14">
        <v>100</v>
      </c>
      <c r="F41" s="35">
        <f t="shared" si="12"/>
        <v>100</v>
      </c>
      <c r="H41" s="50">
        <v>1</v>
      </c>
    </row>
    <row r="42" spans="1:8" ht="13.15" x14ac:dyDescent="0.4">
      <c r="A42" s="6" t="s">
        <v>121</v>
      </c>
      <c r="B42" s="14">
        <v>100</v>
      </c>
      <c r="C42" s="14">
        <v>100</v>
      </c>
      <c r="D42" s="14">
        <v>100</v>
      </c>
      <c r="E42" s="14">
        <v>100</v>
      </c>
      <c r="F42" s="35">
        <f t="shared" si="12"/>
        <v>100</v>
      </c>
      <c r="H42" s="50">
        <v>2</v>
      </c>
    </row>
    <row r="43" spans="1:8" ht="13.15" x14ac:dyDescent="0.4">
      <c r="A43" s="6" t="s">
        <v>133</v>
      </c>
      <c r="B43" s="14">
        <v>100</v>
      </c>
      <c r="C43" s="14">
        <v>100</v>
      </c>
      <c r="D43" s="14">
        <v>100</v>
      </c>
      <c r="E43" s="14">
        <v>100</v>
      </c>
      <c r="F43" s="35">
        <f t="shared" si="12"/>
        <v>100</v>
      </c>
      <c r="H43" s="50">
        <v>1</v>
      </c>
    </row>
    <row r="44" spans="1:8" ht="13.15" x14ac:dyDescent="0.4">
      <c r="A44" s="6" t="s">
        <v>135</v>
      </c>
      <c r="B44" s="14">
        <v>100</v>
      </c>
      <c r="C44" s="14">
        <v>100</v>
      </c>
      <c r="D44" s="14">
        <v>100</v>
      </c>
      <c r="E44" s="14">
        <v>100</v>
      </c>
      <c r="F44" s="35">
        <f t="shared" si="12"/>
        <v>100</v>
      </c>
      <c r="H44" s="50">
        <v>1</v>
      </c>
    </row>
    <row r="45" spans="1:8" x14ac:dyDescent="0.35">
      <c r="B45" s="53" t="s">
        <v>112</v>
      </c>
      <c r="C45" s="53"/>
      <c r="D45" s="53"/>
      <c r="E45" s="53"/>
      <c r="F45" s="53"/>
    </row>
    <row r="46" spans="1:8" x14ac:dyDescent="0.35">
      <c r="A46" s="4" t="s">
        <v>4</v>
      </c>
      <c r="B46" s="33" t="s">
        <v>93</v>
      </c>
      <c r="C46" s="33" t="s">
        <v>94</v>
      </c>
      <c r="D46" s="33" t="s">
        <v>95</v>
      </c>
      <c r="E46" s="34" t="s">
        <v>96</v>
      </c>
      <c r="F46" s="34" t="s">
        <v>97</v>
      </c>
    </row>
    <row r="47" spans="1:8" ht="13.15" x14ac:dyDescent="0.4">
      <c r="A47" s="6" t="s">
        <v>125</v>
      </c>
      <c r="B47" s="14" t="s">
        <v>139</v>
      </c>
      <c r="C47" s="14">
        <f>29/30*100</f>
        <v>96.666666666666671</v>
      </c>
      <c r="D47" s="14">
        <v>100</v>
      </c>
      <c r="E47" s="14">
        <v>100</v>
      </c>
      <c r="F47" s="35">
        <f>AVERAGE(B47:E47)</f>
        <v>98.8888888888889</v>
      </c>
      <c r="H47" s="50">
        <v>2</v>
      </c>
    </row>
    <row r="48" spans="1:8" ht="13.15" x14ac:dyDescent="0.4">
      <c r="A48" s="6" t="s">
        <v>123</v>
      </c>
      <c r="B48" s="14">
        <v>100</v>
      </c>
      <c r="C48" s="14">
        <f>26/30*100</f>
        <v>86.666666666666671</v>
      </c>
      <c r="D48" s="14">
        <v>100</v>
      </c>
      <c r="E48" s="14">
        <v>100</v>
      </c>
      <c r="F48" s="35">
        <f>AVERAGE(B48:E48)</f>
        <v>96.666666666666671</v>
      </c>
      <c r="H48" s="50">
        <v>2</v>
      </c>
    </row>
    <row r="49" spans="1:8" ht="13.15" x14ac:dyDescent="0.4">
      <c r="A49" s="6" t="s">
        <v>127</v>
      </c>
      <c r="B49" s="14">
        <v>100</v>
      </c>
      <c r="C49" s="14">
        <f>22/30*100</f>
        <v>73.333333333333329</v>
      </c>
      <c r="D49" s="14">
        <v>100</v>
      </c>
      <c r="E49" s="14">
        <v>100</v>
      </c>
      <c r="F49" s="35">
        <f t="shared" ref="F49:F54" si="13">AVERAGE(B49:E49)</f>
        <v>93.333333333333329</v>
      </c>
      <c r="H49" s="50">
        <v>2</v>
      </c>
    </row>
    <row r="50" spans="1:8" ht="13.15" x14ac:dyDescent="0.4">
      <c r="A50" s="6" t="s">
        <v>131</v>
      </c>
      <c r="B50" s="14">
        <v>100</v>
      </c>
      <c r="C50" s="14">
        <v>100</v>
      </c>
      <c r="D50" s="14">
        <v>100</v>
      </c>
      <c r="E50" s="14">
        <v>100</v>
      </c>
      <c r="F50" s="35">
        <f t="shared" si="13"/>
        <v>100</v>
      </c>
      <c r="H50" s="50">
        <v>1</v>
      </c>
    </row>
    <row r="51" spans="1:8" ht="13.15" x14ac:dyDescent="0.4">
      <c r="A51" s="6" t="s">
        <v>129</v>
      </c>
      <c r="B51" s="14">
        <v>100</v>
      </c>
      <c r="C51" s="14">
        <v>100</v>
      </c>
      <c r="D51" s="14">
        <v>100</v>
      </c>
      <c r="E51" s="14">
        <v>100</v>
      </c>
      <c r="F51" s="35">
        <f t="shared" si="13"/>
        <v>100</v>
      </c>
      <c r="H51" s="50">
        <v>1</v>
      </c>
    </row>
    <row r="52" spans="1:8" ht="13.15" x14ac:dyDescent="0.4">
      <c r="A52" s="6" t="s">
        <v>121</v>
      </c>
      <c r="B52" s="14">
        <v>100</v>
      </c>
      <c r="C52" s="14">
        <v>100</v>
      </c>
      <c r="D52" s="14">
        <v>100</v>
      </c>
      <c r="E52" s="14">
        <v>100</v>
      </c>
      <c r="F52" s="35">
        <f t="shared" si="13"/>
        <v>100</v>
      </c>
      <c r="H52" s="50">
        <v>2</v>
      </c>
    </row>
    <row r="53" spans="1:8" ht="13.15" x14ac:dyDescent="0.4">
      <c r="A53" s="6" t="s">
        <v>133</v>
      </c>
      <c r="B53" s="14">
        <f>28/30*100</f>
        <v>93.333333333333329</v>
      </c>
      <c r="C53" s="14">
        <v>100</v>
      </c>
      <c r="D53" s="14">
        <v>100</v>
      </c>
      <c r="E53" s="14">
        <v>100</v>
      </c>
      <c r="F53" s="35">
        <f t="shared" si="13"/>
        <v>98.333333333333329</v>
      </c>
      <c r="H53" s="50">
        <v>1</v>
      </c>
    </row>
    <row r="54" spans="1:8" ht="13.15" x14ac:dyDescent="0.4">
      <c r="A54" s="6" t="s">
        <v>135</v>
      </c>
      <c r="B54" s="14">
        <v>100</v>
      </c>
      <c r="C54" s="14">
        <v>100</v>
      </c>
      <c r="D54" s="14">
        <v>100</v>
      </c>
      <c r="E54" s="14">
        <v>100</v>
      </c>
      <c r="F54" s="35">
        <f t="shared" si="13"/>
        <v>100</v>
      </c>
      <c r="H54" s="50">
        <v>1</v>
      </c>
    </row>
  </sheetData>
  <sheetProtection selectLockedCells="1" selectUnlockedCells="1"/>
  <mergeCells count="7">
    <mergeCell ref="B45:F45"/>
    <mergeCell ref="A1:O1"/>
    <mergeCell ref="A2:O2"/>
    <mergeCell ref="A3:O3"/>
    <mergeCell ref="B15:F15"/>
    <mergeCell ref="B25:F25"/>
    <mergeCell ref="B35:F35"/>
  </mergeCells>
  <pageMargins left="0.75" right="0.75" top="1" bottom="1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topLeftCell="A4" workbookViewId="0">
      <selection activeCell="B25" sqref="B25:B26"/>
    </sheetView>
  </sheetViews>
  <sheetFormatPr baseColWidth="10" defaultColWidth="10.6640625" defaultRowHeight="12.75" x14ac:dyDescent="0.35"/>
  <cols>
    <col min="1" max="1" width="8.73046875" customWidth="1"/>
    <col min="2" max="2" width="16.73046875" customWidth="1"/>
    <col min="3" max="3" width="50.1328125" customWidth="1"/>
    <col min="4" max="4" width="40.73046875" customWidth="1"/>
    <col min="5" max="256" width="9.06640625" customWidth="1"/>
  </cols>
  <sheetData>
    <row r="1" spans="1:4" ht="15" x14ac:dyDescent="0.4">
      <c r="A1" s="61" t="s">
        <v>0</v>
      </c>
      <c r="B1" s="61"/>
      <c r="C1" s="61"/>
      <c r="D1" s="61"/>
    </row>
    <row r="2" spans="1:4" ht="15" x14ac:dyDescent="0.4">
      <c r="A2" s="61" t="s">
        <v>1</v>
      </c>
      <c r="B2" s="61"/>
      <c r="C2" s="61"/>
      <c r="D2" s="61"/>
    </row>
    <row r="3" spans="1:4" ht="15" x14ac:dyDescent="0.4">
      <c r="A3" s="51"/>
      <c r="B3" s="51"/>
      <c r="C3" s="51"/>
      <c r="D3" s="51"/>
    </row>
    <row r="4" spans="1:4" ht="15" x14ac:dyDescent="0.4">
      <c r="A4" s="51" t="s">
        <v>49</v>
      </c>
      <c r="B4" s="51"/>
      <c r="C4" s="51"/>
      <c r="D4" s="51"/>
    </row>
    <row r="5" spans="1:4" x14ac:dyDescent="0.35">
      <c r="A5" s="48" t="s">
        <v>118</v>
      </c>
      <c r="B5" s="48" t="s">
        <v>50</v>
      </c>
      <c r="C5" s="48" t="s">
        <v>51</v>
      </c>
      <c r="D5" s="49" t="s">
        <v>52</v>
      </c>
    </row>
    <row r="6" spans="1:4" ht="12.75" customHeight="1" x14ac:dyDescent="0.35">
      <c r="A6" s="55">
        <v>1</v>
      </c>
      <c r="B6" s="56">
        <v>43567</v>
      </c>
      <c r="C6" s="60" t="s">
        <v>53</v>
      </c>
      <c r="D6" s="20"/>
    </row>
    <row r="7" spans="1:4" ht="13.15" x14ac:dyDescent="0.35">
      <c r="A7" s="55"/>
      <c r="B7" s="56"/>
      <c r="C7" s="60"/>
      <c r="D7" s="21"/>
    </row>
    <row r="8" spans="1:4" ht="12.75" customHeight="1" x14ac:dyDescent="0.4">
      <c r="A8" s="55">
        <v>2</v>
      </c>
      <c r="B8" s="56">
        <v>43956</v>
      </c>
      <c r="C8" s="60" t="s">
        <v>54</v>
      </c>
      <c r="D8" s="7" t="s">
        <v>124</v>
      </c>
    </row>
    <row r="9" spans="1:4" ht="13.15" x14ac:dyDescent="0.4">
      <c r="A9" s="55"/>
      <c r="B9" s="56"/>
      <c r="C9" s="60"/>
      <c r="D9" s="7" t="s">
        <v>128</v>
      </c>
    </row>
    <row r="10" spans="1:4" ht="12.75" customHeight="1" x14ac:dyDescent="0.35">
      <c r="A10" s="57">
        <v>3</v>
      </c>
      <c r="B10" s="56">
        <v>43588</v>
      </c>
      <c r="C10" s="54" t="s">
        <v>55</v>
      </c>
      <c r="D10" s="20"/>
    </row>
    <row r="11" spans="1:4" ht="12.75" customHeight="1" x14ac:dyDescent="0.35">
      <c r="A11" s="57"/>
      <c r="B11" s="56"/>
      <c r="C11" s="54"/>
      <c r="D11" s="21"/>
    </row>
    <row r="12" spans="1:4" ht="12.75" customHeight="1" x14ac:dyDescent="0.4">
      <c r="A12" s="57">
        <v>4</v>
      </c>
      <c r="B12" s="58">
        <v>43956</v>
      </c>
      <c r="C12" s="22" t="s">
        <v>56</v>
      </c>
      <c r="D12" s="7" t="s">
        <v>134</v>
      </c>
    </row>
    <row r="13" spans="1:4" ht="12.75" customHeight="1" x14ac:dyDescent="0.4">
      <c r="A13" s="57"/>
      <c r="B13" s="58"/>
      <c r="C13" s="23" t="s">
        <v>57</v>
      </c>
      <c r="D13" s="7" t="s">
        <v>136</v>
      </c>
    </row>
    <row r="14" spans="1:4" ht="12.75" customHeight="1" x14ac:dyDescent="0.35">
      <c r="A14" s="57"/>
      <c r="B14" s="58"/>
      <c r="C14" s="23" t="s">
        <v>58</v>
      </c>
      <c r="D14" s="24"/>
    </row>
    <row r="15" spans="1:4" ht="12.75" customHeight="1" x14ac:dyDescent="0.35">
      <c r="A15" s="57"/>
      <c r="B15" s="58"/>
      <c r="C15" s="25" t="s">
        <v>59</v>
      </c>
      <c r="D15" s="24"/>
    </row>
    <row r="16" spans="1:4" ht="12.75" customHeight="1" x14ac:dyDescent="0.35">
      <c r="A16" s="57">
        <v>5</v>
      </c>
      <c r="B16" s="58">
        <v>43602</v>
      </c>
      <c r="C16" s="26" t="s">
        <v>60</v>
      </c>
      <c r="D16" s="20"/>
    </row>
    <row r="17" spans="1:4" ht="12.75" customHeight="1" x14ac:dyDescent="0.35">
      <c r="A17" s="57"/>
      <c r="B17" s="58"/>
      <c r="C17" s="27" t="s">
        <v>61</v>
      </c>
      <c r="D17" s="24"/>
    </row>
    <row r="18" spans="1:4" ht="12.75" customHeight="1" x14ac:dyDescent="0.35">
      <c r="A18" s="57"/>
      <c r="B18" s="58"/>
      <c r="C18" s="27" t="s">
        <v>62</v>
      </c>
      <c r="D18" s="24"/>
    </row>
    <row r="19" spans="1:4" ht="12.75" customHeight="1" x14ac:dyDescent="0.35">
      <c r="A19" s="57"/>
      <c r="B19" s="58"/>
      <c r="C19" s="27" t="s">
        <v>59</v>
      </c>
      <c r="D19" s="24"/>
    </row>
    <row r="20" spans="1:4" ht="12.75" customHeight="1" x14ac:dyDescent="0.4">
      <c r="A20" s="57">
        <v>6</v>
      </c>
      <c r="B20" s="59">
        <v>43980</v>
      </c>
      <c r="C20" s="40" t="s">
        <v>63</v>
      </c>
      <c r="D20" s="7" t="s">
        <v>132</v>
      </c>
    </row>
    <row r="21" spans="1:4" ht="12.75" customHeight="1" x14ac:dyDescent="0.4">
      <c r="A21" s="57"/>
      <c r="B21" s="59"/>
      <c r="C21" s="39" t="s">
        <v>64</v>
      </c>
      <c r="D21" s="7" t="s">
        <v>130</v>
      </c>
    </row>
    <row r="22" spans="1:4" ht="12.75" customHeight="1" x14ac:dyDescent="0.35">
      <c r="A22" s="57"/>
      <c r="B22" s="59"/>
      <c r="C22" s="41" t="s">
        <v>65</v>
      </c>
      <c r="D22" s="42"/>
    </row>
    <row r="23" spans="1:4" ht="12.75" customHeight="1" x14ac:dyDescent="0.4">
      <c r="A23" s="57">
        <v>7</v>
      </c>
      <c r="B23" s="56">
        <v>43980</v>
      </c>
      <c r="C23" s="20" t="s">
        <v>66</v>
      </c>
      <c r="D23" s="7" t="s">
        <v>126</v>
      </c>
    </row>
    <row r="24" spans="1:4" ht="12.75" customHeight="1" x14ac:dyDescent="0.4">
      <c r="A24" s="57"/>
      <c r="B24" s="56"/>
      <c r="C24" s="29" t="s">
        <v>67</v>
      </c>
      <c r="D24" s="7" t="s">
        <v>122</v>
      </c>
    </row>
    <row r="25" spans="1:4" ht="12.75" customHeight="1" x14ac:dyDescent="0.35">
      <c r="A25" s="57">
        <v>8</v>
      </c>
      <c r="B25" s="56">
        <v>43616</v>
      </c>
      <c r="C25" s="30" t="s">
        <v>68</v>
      </c>
      <c r="D25" s="20"/>
    </row>
    <row r="26" spans="1:4" ht="12.75" customHeight="1" x14ac:dyDescent="0.35">
      <c r="A26" s="57"/>
      <c r="B26" s="56"/>
      <c r="C26" s="25" t="s">
        <v>69</v>
      </c>
      <c r="D26" s="21"/>
    </row>
    <row r="27" spans="1:4" ht="12.75" customHeight="1" x14ac:dyDescent="0.35">
      <c r="A27" s="55">
        <v>9</v>
      </c>
      <c r="B27" s="56">
        <v>43634</v>
      </c>
      <c r="C27" s="54" t="s">
        <v>70</v>
      </c>
      <c r="D27" s="24"/>
    </row>
    <row r="28" spans="1:4" ht="12.75" customHeight="1" x14ac:dyDescent="0.35">
      <c r="A28" s="55"/>
      <c r="B28" s="56"/>
      <c r="C28" s="54"/>
      <c r="D28" s="24"/>
    </row>
    <row r="29" spans="1:4" ht="13.15" x14ac:dyDescent="0.35">
      <c r="A29" s="55">
        <v>10</v>
      </c>
      <c r="B29" s="56">
        <v>43634</v>
      </c>
      <c r="C29" s="20" t="s">
        <v>71</v>
      </c>
      <c r="D29" s="20"/>
    </row>
    <row r="30" spans="1:4" ht="13.15" x14ac:dyDescent="0.35">
      <c r="A30" s="55"/>
      <c r="B30" s="56"/>
      <c r="C30" s="28" t="s">
        <v>72</v>
      </c>
      <c r="D30" s="24"/>
    </row>
    <row r="31" spans="1:4" ht="13.15" x14ac:dyDescent="0.4">
      <c r="A31" s="57">
        <v>11</v>
      </c>
      <c r="B31" s="58">
        <v>43637</v>
      </c>
      <c r="C31" s="31" t="s">
        <v>73</v>
      </c>
      <c r="D31" s="20"/>
    </row>
    <row r="32" spans="1:4" ht="13.15" x14ac:dyDescent="0.35">
      <c r="A32" s="57"/>
      <c r="B32" s="58"/>
      <c r="C32" s="28" t="s">
        <v>74</v>
      </c>
      <c r="D32" s="24"/>
    </row>
    <row r="33" spans="1:4" ht="13.15" x14ac:dyDescent="0.35">
      <c r="A33" s="57"/>
      <c r="B33" s="58"/>
      <c r="C33" s="29" t="s">
        <v>75</v>
      </c>
      <c r="D33" s="21"/>
    </row>
    <row r="34" spans="1:4" ht="13.15" x14ac:dyDescent="0.4">
      <c r="A34" s="57">
        <v>12</v>
      </c>
      <c r="B34" s="58">
        <v>43637</v>
      </c>
      <c r="C34" s="31" t="s">
        <v>76</v>
      </c>
      <c r="D34" s="20"/>
    </row>
    <row r="35" spans="1:4" ht="13.15" x14ac:dyDescent="0.35">
      <c r="A35" s="57"/>
      <c r="B35" s="58"/>
      <c r="C35" s="28" t="s">
        <v>74</v>
      </c>
      <c r="D35" s="24"/>
    </row>
    <row r="36" spans="1:4" ht="13.15" x14ac:dyDescent="0.35">
      <c r="A36" s="57"/>
      <c r="B36" s="58"/>
      <c r="C36" s="29" t="s">
        <v>75</v>
      </c>
      <c r="D36" s="21"/>
    </row>
  </sheetData>
  <sheetProtection selectLockedCells="1" selectUnlockedCells="1"/>
  <mergeCells count="32">
    <mergeCell ref="A1:D1"/>
    <mergeCell ref="A2:D2"/>
    <mergeCell ref="A3:D3"/>
    <mergeCell ref="A4:D4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34:A36"/>
    <mergeCell ref="B34:B36"/>
    <mergeCell ref="A27:A28"/>
    <mergeCell ref="B27:B28"/>
    <mergeCell ref="A12:A15"/>
    <mergeCell ref="B12:B15"/>
    <mergeCell ref="A16:A19"/>
    <mergeCell ref="B16:B19"/>
    <mergeCell ref="A20:A22"/>
    <mergeCell ref="B20:B22"/>
    <mergeCell ref="A23:A24"/>
    <mergeCell ref="B23:B24"/>
    <mergeCell ref="A25:A26"/>
    <mergeCell ref="B25:B26"/>
    <mergeCell ref="C27:C28"/>
    <mergeCell ref="A29:A30"/>
    <mergeCell ref="B29:B30"/>
    <mergeCell ref="A31:A33"/>
    <mergeCell ref="B31:B33"/>
  </mergeCells>
  <pageMargins left="0.39370078740157483" right="0.39370078740157483" top="0.39370078740157483" bottom="0.39370078740157483" header="0.19685039370078741" footer="0.1968503937007874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workbookViewId="0">
      <pane ySplit="5" topLeftCell="A6" activePane="bottomLeft" state="frozen"/>
      <selection pane="bottomLeft" activeCell="C14" sqref="C14:C17"/>
    </sheetView>
  </sheetViews>
  <sheetFormatPr baseColWidth="10" defaultColWidth="10.6640625" defaultRowHeight="12.75" x14ac:dyDescent="0.35"/>
  <cols>
    <col min="1" max="1" width="8.73046875" customWidth="1"/>
    <col min="2" max="2" width="16.73046875" customWidth="1"/>
    <col min="3" max="4" width="20.73046875" customWidth="1"/>
    <col min="5" max="5" width="40.73046875" customWidth="1"/>
    <col min="6" max="256" width="9.06640625" customWidth="1"/>
  </cols>
  <sheetData>
    <row r="1" spans="1:5" ht="15" x14ac:dyDescent="0.4">
      <c r="A1" s="61" t="s">
        <v>0</v>
      </c>
      <c r="B1" s="61"/>
      <c r="C1" s="61"/>
      <c r="D1" s="32"/>
    </row>
    <row r="2" spans="1:5" ht="15" x14ac:dyDescent="0.4">
      <c r="A2" s="61" t="s">
        <v>1</v>
      </c>
      <c r="B2" s="61"/>
      <c r="C2" s="61"/>
      <c r="D2" s="32"/>
    </row>
    <row r="4" spans="1:5" ht="15" x14ac:dyDescent="0.4">
      <c r="A4" s="51" t="s">
        <v>77</v>
      </c>
      <c r="B4" s="51"/>
      <c r="C4" s="51"/>
      <c r="D4" s="51"/>
      <c r="E4" s="51"/>
    </row>
    <row r="5" spans="1:5" x14ac:dyDescent="0.35">
      <c r="A5" s="48" t="s">
        <v>118</v>
      </c>
      <c r="B5" s="48" t="s">
        <v>50</v>
      </c>
      <c r="C5" s="49" t="s">
        <v>115</v>
      </c>
      <c r="D5" s="49" t="s">
        <v>116</v>
      </c>
      <c r="E5" s="49" t="s">
        <v>78</v>
      </c>
    </row>
    <row r="6" spans="1:5" ht="12.75" customHeight="1" x14ac:dyDescent="0.4">
      <c r="A6" s="57">
        <v>1</v>
      </c>
      <c r="B6" s="59">
        <v>44015</v>
      </c>
      <c r="C6" s="62" t="s">
        <v>137</v>
      </c>
      <c r="D6" s="63"/>
      <c r="E6" s="7" t="s">
        <v>132</v>
      </c>
    </row>
    <row r="7" spans="1:5" ht="12.75" customHeight="1" x14ac:dyDescent="0.4">
      <c r="A7" s="57"/>
      <c r="B7" s="59"/>
      <c r="C7" s="62"/>
      <c r="D7" s="63"/>
      <c r="E7" s="7" t="s">
        <v>130</v>
      </c>
    </row>
    <row r="8" spans="1:5" ht="12.75" customHeight="1" x14ac:dyDescent="0.4">
      <c r="A8" s="57"/>
      <c r="B8" s="59"/>
      <c r="C8" s="62"/>
      <c r="D8" s="63"/>
      <c r="E8" s="7" t="s">
        <v>134</v>
      </c>
    </row>
    <row r="9" spans="1:5" ht="12.75" customHeight="1" x14ac:dyDescent="0.4">
      <c r="A9" s="57"/>
      <c r="B9" s="59"/>
      <c r="C9" s="62"/>
      <c r="D9" s="63"/>
      <c r="E9" s="7" t="s">
        <v>136</v>
      </c>
    </row>
    <row r="10" spans="1:5" ht="12.75" customHeight="1" x14ac:dyDescent="0.4">
      <c r="A10" s="57">
        <v>2</v>
      </c>
      <c r="B10" s="59">
        <v>44015</v>
      </c>
      <c r="C10" s="62" t="s">
        <v>138</v>
      </c>
      <c r="D10" s="62"/>
      <c r="E10" s="7" t="s">
        <v>126</v>
      </c>
    </row>
    <row r="11" spans="1:5" ht="12.75" customHeight="1" x14ac:dyDescent="0.4">
      <c r="A11" s="57"/>
      <c r="B11" s="59"/>
      <c r="C11" s="62"/>
      <c r="D11" s="62"/>
      <c r="E11" s="7" t="s">
        <v>124</v>
      </c>
    </row>
    <row r="12" spans="1:5" ht="12.75" customHeight="1" x14ac:dyDescent="0.4">
      <c r="A12" s="57"/>
      <c r="B12" s="59"/>
      <c r="C12" s="62"/>
      <c r="D12" s="62"/>
      <c r="E12" s="7" t="s">
        <v>128</v>
      </c>
    </row>
    <row r="13" spans="1:5" ht="12.75" customHeight="1" x14ac:dyDescent="0.4">
      <c r="A13" s="57"/>
      <c r="B13" s="59"/>
      <c r="C13" s="62"/>
      <c r="D13" s="62"/>
      <c r="E13" s="7" t="s">
        <v>122</v>
      </c>
    </row>
    <row r="14" spans="1:5" ht="12.75" customHeight="1" x14ac:dyDescent="0.4">
      <c r="A14" s="57">
        <v>3</v>
      </c>
      <c r="B14" s="59">
        <v>44015</v>
      </c>
      <c r="C14" s="62"/>
      <c r="D14" s="62"/>
      <c r="E14" s="7"/>
    </row>
    <row r="15" spans="1:5" ht="12.75" customHeight="1" x14ac:dyDescent="0.4">
      <c r="A15" s="57"/>
      <c r="B15" s="59"/>
      <c r="C15" s="62"/>
      <c r="D15" s="62"/>
      <c r="E15" s="7"/>
    </row>
    <row r="16" spans="1:5" ht="12.75" customHeight="1" x14ac:dyDescent="0.4">
      <c r="A16" s="57"/>
      <c r="B16" s="59"/>
      <c r="C16" s="62"/>
      <c r="D16" s="62"/>
      <c r="E16" s="7"/>
    </row>
    <row r="17" spans="1:5" ht="12.75" customHeight="1" x14ac:dyDescent="0.4">
      <c r="A17" s="57"/>
      <c r="B17" s="59"/>
      <c r="C17" s="62"/>
      <c r="D17" s="62"/>
      <c r="E17" s="7"/>
    </row>
    <row r="18" spans="1:5" ht="12.75" customHeight="1" x14ac:dyDescent="0.4">
      <c r="A18" s="55">
        <v>4</v>
      </c>
      <c r="B18" s="59">
        <v>44015</v>
      </c>
      <c r="C18" s="62"/>
      <c r="D18" s="62"/>
      <c r="E18" s="7"/>
    </row>
    <row r="19" spans="1:5" ht="12.75" customHeight="1" x14ac:dyDescent="0.4">
      <c r="A19" s="55"/>
      <c r="B19" s="59"/>
      <c r="C19" s="62"/>
      <c r="D19" s="62"/>
      <c r="E19" s="7"/>
    </row>
    <row r="20" spans="1:5" ht="12.75" customHeight="1" x14ac:dyDescent="0.4">
      <c r="A20" s="55"/>
      <c r="B20" s="59"/>
      <c r="C20" s="62"/>
      <c r="D20" s="62"/>
      <c r="E20" s="7"/>
    </row>
    <row r="21" spans="1:5" ht="12.75" customHeight="1" x14ac:dyDescent="0.4">
      <c r="A21" s="55"/>
      <c r="B21" s="59"/>
      <c r="C21" s="62"/>
      <c r="D21" s="62"/>
      <c r="E21" s="38"/>
    </row>
    <row r="22" spans="1:5" ht="12.75" customHeight="1" x14ac:dyDescent="0.4">
      <c r="A22" s="57">
        <v>5</v>
      </c>
      <c r="B22" s="59">
        <v>44015</v>
      </c>
      <c r="C22" s="62"/>
      <c r="D22" s="62"/>
      <c r="E22" s="7"/>
    </row>
    <row r="23" spans="1:5" ht="12.75" customHeight="1" x14ac:dyDescent="0.4">
      <c r="A23" s="57"/>
      <c r="B23" s="59"/>
      <c r="C23" s="62"/>
      <c r="D23" s="62"/>
      <c r="E23" s="7"/>
    </row>
    <row r="24" spans="1:5" ht="12.75" customHeight="1" x14ac:dyDescent="0.4">
      <c r="A24" s="57"/>
      <c r="B24" s="59"/>
      <c r="C24" s="62"/>
      <c r="D24" s="62"/>
      <c r="E24" s="38"/>
    </row>
    <row r="25" spans="1:5" ht="12.75" customHeight="1" x14ac:dyDescent="0.4">
      <c r="A25" s="57"/>
      <c r="B25" s="59"/>
      <c r="C25" s="62"/>
      <c r="D25" s="62"/>
      <c r="E25" s="38"/>
    </row>
  </sheetData>
  <sheetProtection selectLockedCells="1" selectUnlockedCells="1"/>
  <mergeCells count="23">
    <mergeCell ref="A1:C1"/>
    <mergeCell ref="A2:C2"/>
    <mergeCell ref="C14:C17"/>
    <mergeCell ref="C18:C21"/>
    <mergeCell ref="C22:C25"/>
    <mergeCell ref="B6:B9"/>
    <mergeCell ref="A10:A13"/>
    <mergeCell ref="B10:B13"/>
    <mergeCell ref="A14:A17"/>
    <mergeCell ref="B14:B17"/>
    <mergeCell ref="A4:E4"/>
    <mergeCell ref="C6:C9"/>
    <mergeCell ref="C10:C13"/>
    <mergeCell ref="D6:D9"/>
    <mergeCell ref="D10:D13"/>
    <mergeCell ref="D14:D17"/>
    <mergeCell ref="A6:A9"/>
    <mergeCell ref="D18:D21"/>
    <mergeCell ref="D22:D25"/>
    <mergeCell ref="A18:A21"/>
    <mergeCell ref="B18:B21"/>
    <mergeCell ref="A22:A25"/>
    <mergeCell ref="B22:B25"/>
  </mergeCells>
  <pageMargins left="0.39370078740157483" right="0.39370078740157483" top="0.39370078740157483" bottom="0.39370078740157483" header="0.19685039370078741" footer="0.1968503937007874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25"/>
  <sheetViews>
    <sheetView workbookViewId="0">
      <selection activeCell="A25" sqref="A25"/>
    </sheetView>
  </sheetViews>
  <sheetFormatPr baseColWidth="10" defaultColWidth="10.6640625" defaultRowHeight="12.75" x14ac:dyDescent="0.35"/>
  <cols>
    <col min="1" max="256" width="9.06640625" customWidth="1"/>
  </cols>
  <sheetData>
    <row r="1" spans="1:256" x14ac:dyDescent="0.35">
      <c r="A1" t="e">
        <f>IF(Teoria!1:1,"AAAAAG9v8QA=",0)</f>
        <v>#VALUE!</v>
      </c>
      <c r="B1" t="e">
        <f>AND(Teoria!A1,"AAAAAG9v8QE=")</f>
        <v>#VALUE!</v>
      </c>
      <c r="C1" t="e">
        <f>AND(Teoria!#REF!,"AAAAAG9v8QI=")</f>
        <v>#REF!</v>
      </c>
      <c r="D1" t="e">
        <f>AND(Teoria!B1,"AAAAAG9v8QM=")</f>
        <v>#VALUE!</v>
      </c>
      <c r="E1" t="e">
        <f>AND(Teoria!C1,"AAAAAG9v8QQ=")</f>
        <v>#VALUE!</v>
      </c>
      <c r="F1" t="e">
        <f>AND(Teoria!D1,"AAAAAG9v8QU=")</f>
        <v>#VALUE!</v>
      </c>
      <c r="G1" t="e">
        <f>AND(Teoria!E1,"AAAAAG9v8QY=")</f>
        <v>#VALUE!</v>
      </c>
      <c r="H1" t="e">
        <f>AND(Teoria!F1,"AAAAAG9v8Qc=")</f>
        <v>#VALUE!</v>
      </c>
      <c r="I1" t="e">
        <f>AND(Teoria!G1,"AAAAAG9v8Qg=")</f>
        <v>#VALUE!</v>
      </c>
      <c r="J1" t="e">
        <f>AND(Teoria!H1,"AAAAAG9v8Qk=")</f>
        <v>#VALUE!</v>
      </c>
      <c r="K1" t="e">
        <f>AND(Teoria!I1,"AAAAAG9v8Qo=")</f>
        <v>#VALUE!</v>
      </c>
      <c r="L1" t="e">
        <f>AND(Teoria!#REF!,"AAAAAG9v8Qs=")</f>
        <v>#REF!</v>
      </c>
      <c r="M1" t="e">
        <f>AND(Teoria!#REF!,"AAAAAG9v8Qw=")</f>
        <v>#REF!</v>
      </c>
      <c r="N1" t="e">
        <f>AND(Teoria!J1,"AAAAAG9v8Q0=")</f>
        <v>#VALUE!</v>
      </c>
      <c r="O1" t="e">
        <f>AND(Teoria!K1,"AAAAAG9v8Q4=")</f>
        <v>#VALUE!</v>
      </c>
      <c r="P1" t="e">
        <f>AND(Teoria!L1,"AAAAAG9v8Q8=")</f>
        <v>#VALUE!</v>
      </c>
      <c r="Q1">
        <f>IF(Teoria!2:2,"AAAAAG9v8RA=",0)</f>
        <v>0</v>
      </c>
      <c r="R1" t="e">
        <f>AND(Teoria!A2,"AAAAAG9v8RE=")</f>
        <v>#VALUE!</v>
      </c>
      <c r="S1" t="e">
        <f>AND(Teoria!#REF!,"AAAAAG9v8RI=")</f>
        <v>#REF!</v>
      </c>
      <c r="T1" t="e">
        <f>AND(Teoria!B2,"AAAAAG9v8RM=")</f>
        <v>#VALUE!</v>
      </c>
      <c r="U1" t="e">
        <f>AND(Teoria!C2,"AAAAAG9v8RQ=")</f>
        <v>#VALUE!</v>
      </c>
      <c r="V1" t="e">
        <f>AND(Teoria!D2,"AAAAAG9v8RU=")</f>
        <v>#VALUE!</v>
      </c>
      <c r="W1" t="e">
        <f>AND(Teoria!E2,"AAAAAG9v8RY=")</f>
        <v>#VALUE!</v>
      </c>
      <c r="X1" t="e">
        <f>AND(Teoria!F2,"AAAAAG9v8Rc=")</f>
        <v>#VALUE!</v>
      </c>
      <c r="Y1" t="e">
        <f>AND(Teoria!G2,"AAAAAG9v8Rg=")</f>
        <v>#VALUE!</v>
      </c>
      <c r="Z1" t="e">
        <f>AND(Teoria!H2,"AAAAAG9v8Rk=")</f>
        <v>#VALUE!</v>
      </c>
      <c r="AA1" t="e">
        <f>AND(Teoria!I2,"AAAAAG9v8Ro=")</f>
        <v>#VALUE!</v>
      </c>
      <c r="AB1" t="e">
        <f>AND(Teoria!#REF!,"AAAAAG9v8Rs=")</f>
        <v>#REF!</v>
      </c>
      <c r="AC1" t="e">
        <f>AND(Teoria!#REF!,"AAAAAG9v8Rw=")</f>
        <v>#REF!</v>
      </c>
      <c r="AD1" t="e">
        <f>AND(Teoria!J2,"AAAAAG9v8R0=")</f>
        <v>#VALUE!</v>
      </c>
      <c r="AE1" t="e">
        <f>AND(Teoria!K2,"AAAAAG9v8R4=")</f>
        <v>#VALUE!</v>
      </c>
      <c r="AF1" t="e">
        <f>AND(Teoria!L2,"AAAAAG9v8R8=")</f>
        <v>#VALUE!</v>
      </c>
      <c r="AG1">
        <f>IF(Teoria!3:3,"AAAAAG9v8SA=",0)</f>
        <v>0</v>
      </c>
      <c r="AH1" t="e">
        <f>AND(Teoria!A3,"AAAAAG9v8SE=")</f>
        <v>#VALUE!</v>
      </c>
      <c r="AI1" t="e">
        <f>AND(Teoria!#REF!,"AAAAAG9v8SI=")</f>
        <v>#REF!</v>
      </c>
      <c r="AJ1" t="e">
        <f>AND(Teoria!B3,"AAAAAG9v8SM=")</f>
        <v>#VALUE!</v>
      </c>
      <c r="AK1" t="e">
        <f>AND(Teoria!C3,"AAAAAG9v8SQ=")</f>
        <v>#VALUE!</v>
      </c>
      <c r="AL1" t="e">
        <f>AND(Teoria!D3,"AAAAAG9v8SU=")</f>
        <v>#VALUE!</v>
      </c>
      <c r="AM1" t="e">
        <f>AND(Teoria!E3,"AAAAAG9v8SY=")</f>
        <v>#VALUE!</v>
      </c>
      <c r="AN1" t="e">
        <f>AND(Teoria!F3,"AAAAAG9v8Sc=")</f>
        <v>#VALUE!</v>
      </c>
      <c r="AO1" t="e">
        <f>AND(Teoria!G3,"AAAAAG9v8Sg=")</f>
        <v>#VALUE!</v>
      </c>
      <c r="AP1" t="e">
        <f>AND(Teoria!H3,"AAAAAG9v8Sk=")</f>
        <v>#VALUE!</v>
      </c>
      <c r="AQ1" t="e">
        <f>AND(Teoria!I3,"AAAAAG9v8So=")</f>
        <v>#VALUE!</v>
      </c>
      <c r="AR1" t="e">
        <f>AND(Teoria!#REF!,"AAAAAG9v8Ss=")</f>
        <v>#REF!</v>
      </c>
      <c r="AS1" t="e">
        <f>AND(Teoria!#REF!,"AAAAAG9v8Sw=")</f>
        <v>#REF!</v>
      </c>
      <c r="AT1" t="e">
        <f>AND(Teoria!J3,"AAAAAG9v8S0=")</f>
        <v>#VALUE!</v>
      </c>
      <c r="AU1" t="e">
        <f>AND(Teoria!K3,"AAAAAG9v8S4=")</f>
        <v>#VALUE!</v>
      </c>
      <c r="AV1" t="e">
        <f>AND(Teoria!L3,"AAAAAG9v8S8=")</f>
        <v>#VALUE!</v>
      </c>
      <c r="AW1">
        <f>IF(Teoria!4:4,"AAAAAG9v8TA=",0)</f>
        <v>0</v>
      </c>
      <c r="AX1" t="e">
        <f>AND(Teoria!A4,"AAAAAG9v8TE=")</f>
        <v>#VALUE!</v>
      </c>
      <c r="AY1" t="e">
        <f>AND(Teoria!#REF!,"AAAAAG9v8TI=")</f>
        <v>#REF!</v>
      </c>
      <c r="AZ1" t="e">
        <f>AND(Teoria!B4,"AAAAAG9v8TM=")</f>
        <v>#VALUE!</v>
      </c>
      <c r="BA1" t="e">
        <f>AND(Teoria!C4,"AAAAAG9v8TQ=")</f>
        <v>#VALUE!</v>
      </c>
      <c r="BB1" t="e">
        <f>AND(Teoria!D4,"AAAAAG9v8TU=")</f>
        <v>#VALUE!</v>
      </c>
      <c r="BC1" t="e">
        <f>AND(Teoria!E4,"AAAAAG9v8TY=")</f>
        <v>#VALUE!</v>
      </c>
      <c r="BD1" t="e">
        <f>AND(Teoria!F4,"AAAAAG9v8Tc=")</f>
        <v>#VALUE!</v>
      </c>
      <c r="BE1" t="e">
        <f>AND(Teoria!G4,"AAAAAG9v8Tg=")</f>
        <v>#VALUE!</v>
      </c>
      <c r="BF1" t="e">
        <f>AND(Teoria!H4,"AAAAAG9v8Tk=")</f>
        <v>#VALUE!</v>
      </c>
      <c r="BG1" t="e">
        <f>AND(Teoria!I4,"AAAAAG9v8To=")</f>
        <v>#VALUE!</v>
      </c>
      <c r="BH1" t="e">
        <f>AND(Teoria!#REF!,"AAAAAG9v8Ts=")</f>
        <v>#REF!</v>
      </c>
      <c r="BI1" t="e">
        <f>AND(Teoria!#REF!,"AAAAAG9v8Tw=")</f>
        <v>#REF!</v>
      </c>
      <c r="BJ1" t="e">
        <f>AND(Teoria!J4,"AAAAAG9v8T0=")</f>
        <v>#VALUE!</v>
      </c>
      <c r="BK1" t="e">
        <f>AND(Teoria!K4,"AAAAAG9v8T4=")</f>
        <v>#VALUE!</v>
      </c>
      <c r="BL1" t="e">
        <f>AND(Teoria!L4,"AAAAAG9v8T8=")</f>
        <v>#VALUE!</v>
      </c>
      <c r="BM1">
        <f>IF(Teoria!5:5,"AAAAAG9v8UA=",0)</f>
        <v>0</v>
      </c>
      <c r="BN1" t="e">
        <f>AND(Teoria!A5,"AAAAAG9v8UE=")</f>
        <v>#VALUE!</v>
      </c>
      <c r="BO1" t="e">
        <f>AND(Teoria!#REF!,"AAAAAG9v8UI=")</f>
        <v>#REF!</v>
      </c>
      <c r="BP1" t="e">
        <f>AND(Teoria!B5,"AAAAAG9v8UM=")</f>
        <v>#VALUE!</v>
      </c>
      <c r="BQ1" t="e">
        <f>AND(Teoria!C5,"AAAAAG9v8UQ=")</f>
        <v>#VALUE!</v>
      </c>
      <c r="BR1" t="e">
        <f>AND(Teoria!D5,"AAAAAG9v8UU=")</f>
        <v>#VALUE!</v>
      </c>
      <c r="BS1" t="e">
        <f>AND(Teoria!E5,"AAAAAG9v8UY=")</f>
        <v>#VALUE!</v>
      </c>
      <c r="BT1" t="e">
        <f>AND(Teoria!F5,"AAAAAG9v8Uc=")</f>
        <v>#VALUE!</v>
      </c>
      <c r="BU1" t="e">
        <f>AND(Teoria!G5,"AAAAAG9v8Ug=")</f>
        <v>#VALUE!</v>
      </c>
      <c r="BV1" t="e">
        <f>AND(Teoria!H5,"AAAAAG9v8Uk=")</f>
        <v>#VALUE!</v>
      </c>
      <c r="BW1" t="e">
        <f>AND(Teoria!I5,"AAAAAG9v8Uo=")</f>
        <v>#VALUE!</v>
      </c>
      <c r="BX1" t="e">
        <f>AND(Teoria!#REF!,"AAAAAG9v8Us=")</f>
        <v>#REF!</v>
      </c>
      <c r="BY1" t="e">
        <f>AND(Teoria!#REF!,"AAAAAG9v8Uw=")</f>
        <v>#REF!</v>
      </c>
      <c r="BZ1" t="e">
        <f>AND(Teoria!J5,"AAAAAG9v8U0=")</f>
        <v>#VALUE!</v>
      </c>
      <c r="CA1" t="e">
        <f>AND(Teoria!K5,"AAAAAG9v8U4=")</f>
        <v>#VALUE!</v>
      </c>
      <c r="CB1" t="e">
        <f>AND(Teoria!L5,"AAAAAG9v8U8=")</f>
        <v>#VALUE!</v>
      </c>
      <c r="CC1">
        <f>IF(Teoria!6:6,"AAAAAG9v8VA=",0)</f>
        <v>0</v>
      </c>
      <c r="CD1" t="e">
        <f>AND(Teoria!A6,"AAAAAG9v8VE=")</f>
        <v>#VALUE!</v>
      </c>
      <c r="CE1" t="e">
        <f>AND(Teoria!#REF!,"AAAAAG9v8VI=")</f>
        <v>#REF!</v>
      </c>
      <c r="CF1" t="e">
        <f>AND(Teoria!B6,"AAAAAG9v8VM=")</f>
        <v>#VALUE!</v>
      </c>
      <c r="CG1" t="e">
        <f>AND(Teoria!C6,"AAAAAG9v8VQ=")</f>
        <v>#VALUE!</v>
      </c>
      <c r="CH1" t="e">
        <f>AND(Teoria!D6,"AAAAAG9v8VU=")</f>
        <v>#VALUE!</v>
      </c>
      <c r="CI1" t="e">
        <f>AND(Teoria!E6,"AAAAAG9v8VY=")</f>
        <v>#VALUE!</v>
      </c>
      <c r="CJ1" t="e">
        <f>AND(Teoria!F6,"AAAAAG9v8Vc=")</f>
        <v>#VALUE!</v>
      </c>
      <c r="CK1" t="e">
        <f>AND(Teoria!G6,"AAAAAG9v8Vg=")</f>
        <v>#VALUE!</v>
      </c>
      <c r="CL1" t="e">
        <f>AND(Teoria!H6,"AAAAAG9v8Vk=")</f>
        <v>#VALUE!</v>
      </c>
      <c r="CM1" t="e">
        <f>AND(Teoria!I6,"AAAAAG9v8Vo=")</f>
        <v>#VALUE!</v>
      </c>
      <c r="CN1" t="e">
        <f>AND(Teoria!#REF!,"AAAAAG9v8Vs=")</f>
        <v>#REF!</v>
      </c>
      <c r="CO1" t="e">
        <f>AND(Teoria!#REF!,"AAAAAG9v8Vw=")</f>
        <v>#REF!</v>
      </c>
      <c r="CP1" t="e">
        <f>AND(Teoria!J6,"AAAAAG9v8V0=")</f>
        <v>#VALUE!</v>
      </c>
      <c r="CQ1" t="e">
        <f>AND(Teoria!K6,"AAAAAG9v8V4=")</f>
        <v>#VALUE!</v>
      </c>
      <c r="CR1" t="e">
        <f>AND(Teoria!L6,"AAAAAG9v8V8=")</f>
        <v>#VALUE!</v>
      </c>
      <c r="CS1">
        <f>IF(Teoria!7:7,"AAAAAG9v8WA=",0)</f>
        <v>0</v>
      </c>
      <c r="CT1" t="e">
        <f>AND(Teoria!A7,"AAAAAG9v8WE=")</f>
        <v>#VALUE!</v>
      </c>
      <c r="CU1" t="e">
        <f>AND(Teoria!#REF!,"AAAAAG9v8WI=")</f>
        <v>#REF!</v>
      </c>
      <c r="CV1" t="e">
        <f>AND(Teoria!B7,"AAAAAG9v8WM=")</f>
        <v>#VALUE!</v>
      </c>
      <c r="CW1" t="e">
        <f>AND(Teoria!C7,"AAAAAG9v8WQ=")</f>
        <v>#VALUE!</v>
      </c>
      <c r="CX1" t="e">
        <f>AND(Teoria!D7,"AAAAAG9v8WU=")</f>
        <v>#VALUE!</v>
      </c>
      <c r="CY1" t="e">
        <f>AND(Teoria!E7,"AAAAAG9v8WY=")</f>
        <v>#VALUE!</v>
      </c>
      <c r="CZ1" t="e">
        <f>AND(Teoria!F7,"AAAAAG9v8Wc=")</f>
        <v>#VALUE!</v>
      </c>
      <c r="DA1" t="e">
        <f>AND(Teoria!G7,"AAAAAG9v8Wg=")</f>
        <v>#VALUE!</v>
      </c>
      <c r="DB1" t="e">
        <f>AND(Teoria!H7,"AAAAAG9v8Wk=")</f>
        <v>#VALUE!</v>
      </c>
      <c r="DC1" t="e">
        <f>AND(Teoria!I7,"AAAAAG9v8Wo=")</f>
        <v>#VALUE!</v>
      </c>
      <c r="DD1" t="e">
        <f>AND(Teoria!#REF!,"AAAAAG9v8Ws=")</f>
        <v>#REF!</v>
      </c>
      <c r="DE1" t="e">
        <f>AND(Teoria!#REF!,"AAAAAG9v8Ww=")</f>
        <v>#REF!</v>
      </c>
      <c r="DF1" t="e">
        <f>AND(Teoria!J7,"AAAAAG9v8W0=")</f>
        <v>#VALUE!</v>
      </c>
      <c r="DG1" t="e">
        <f>AND(Teoria!K7,"AAAAAG9v8W4=")</f>
        <v>#VALUE!</v>
      </c>
      <c r="DH1" t="e">
        <f>AND(Teoria!L7,"AAAAAG9v8W8=")</f>
        <v>#VALUE!</v>
      </c>
      <c r="DI1">
        <f>IF(Teoria!8:8,"AAAAAG9v8XA=",0)</f>
        <v>0</v>
      </c>
      <c r="DJ1" t="e">
        <f>AND(Teoria!A8,"AAAAAG9v8XE=")</f>
        <v>#VALUE!</v>
      </c>
      <c r="DK1" t="e">
        <f>AND(Teoria!#REF!,"AAAAAG9v8XI=")</f>
        <v>#REF!</v>
      </c>
      <c r="DL1" t="e">
        <f>AND(Teoria!B8,"AAAAAG9v8XM=")</f>
        <v>#VALUE!</v>
      </c>
      <c r="DM1" t="e">
        <f>AND(Teoria!C8,"AAAAAG9v8XQ=")</f>
        <v>#VALUE!</v>
      </c>
      <c r="DN1" t="e">
        <f>AND(Teoria!D8,"AAAAAG9v8XU=")</f>
        <v>#VALUE!</v>
      </c>
      <c r="DO1" t="e">
        <f>AND(Teoria!E8,"AAAAAG9v8XY=")</f>
        <v>#VALUE!</v>
      </c>
      <c r="DP1" t="e">
        <f>AND(Teoria!F8,"AAAAAG9v8Xc=")</f>
        <v>#VALUE!</v>
      </c>
      <c r="DQ1" t="e">
        <f>AND(Teoria!G8,"AAAAAG9v8Xg=")</f>
        <v>#VALUE!</v>
      </c>
      <c r="DR1" t="e">
        <f>AND(Teoria!H8,"AAAAAG9v8Xk=")</f>
        <v>#VALUE!</v>
      </c>
      <c r="DS1" t="e">
        <f>AND(Teoria!I8,"AAAAAG9v8Xo=")</f>
        <v>#VALUE!</v>
      </c>
      <c r="DT1" t="e">
        <f>AND(Teoria!#REF!,"AAAAAG9v8Xs=")</f>
        <v>#REF!</v>
      </c>
      <c r="DU1" t="e">
        <f>AND(Teoria!#REF!,"AAAAAG9v8Xw=")</f>
        <v>#REF!</v>
      </c>
      <c r="DV1" t="e">
        <f>AND(Teoria!J8,"AAAAAG9v8X0=")</f>
        <v>#VALUE!</v>
      </c>
      <c r="DW1" t="e">
        <f>AND(Teoria!K8,"AAAAAG9v8X4=")</f>
        <v>#VALUE!</v>
      </c>
      <c r="DX1" t="e">
        <f>AND(Teoria!L8,"AAAAAG9v8X8=")</f>
        <v>#VALUE!</v>
      </c>
      <c r="DY1">
        <f>IF(Teoria!9:9,"AAAAAG9v8YA=",0)</f>
        <v>0</v>
      </c>
      <c r="DZ1" t="e">
        <f>AND(Teoria!A9,"AAAAAG9v8YE=")</f>
        <v>#VALUE!</v>
      </c>
      <c r="EA1" t="e">
        <f>AND(Teoria!#REF!,"AAAAAG9v8YI=")</f>
        <v>#REF!</v>
      </c>
      <c r="EB1" t="e">
        <f>AND(Teoria!B9,"AAAAAG9v8YM=")</f>
        <v>#VALUE!</v>
      </c>
      <c r="EC1" t="e">
        <f>AND(Teoria!C9,"AAAAAG9v8YQ=")</f>
        <v>#VALUE!</v>
      </c>
      <c r="ED1" t="e">
        <f>AND(Teoria!D9,"AAAAAG9v8YU=")</f>
        <v>#VALUE!</v>
      </c>
      <c r="EE1" t="e">
        <f>AND(Teoria!E9,"AAAAAG9v8YY=")</f>
        <v>#VALUE!</v>
      </c>
      <c r="EF1" t="e">
        <f>AND(Teoria!F9,"AAAAAG9v8Yc=")</f>
        <v>#VALUE!</v>
      </c>
      <c r="EG1" t="e">
        <f>AND(Teoria!G9,"AAAAAG9v8Yg=")</f>
        <v>#VALUE!</v>
      </c>
      <c r="EH1" t="e">
        <f>AND(Teoria!H9,"AAAAAG9v8Yk=")</f>
        <v>#VALUE!</v>
      </c>
      <c r="EI1" t="e">
        <f>AND(Teoria!I9,"AAAAAG9v8Yo=")</f>
        <v>#VALUE!</v>
      </c>
      <c r="EJ1" t="e">
        <f>AND(Teoria!#REF!,"AAAAAG9v8Ys=")</f>
        <v>#REF!</v>
      </c>
      <c r="EK1" t="e">
        <f>AND(Teoria!#REF!,"AAAAAG9v8Yw=")</f>
        <v>#REF!</v>
      </c>
      <c r="EL1" t="e">
        <f>AND(Teoria!J9,"AAAAAG9v8Y0=")</f>
        <v>#VALUE!</v>
      </c>
      <c r="EM1" t="e">
        <f>AND(Teoria!K9,"AAAAAG9v8Y4=")</f>
        <v>#VALUE!</v>
      </c>
      <c r="EN1" t="e">
        <f>AND(Teoria!L9,"AAAAAG9v8Y8=")</f>
        <v>#VALUE!</v>
      </c>
      <c r="EO1" t="e">
        <f>IF(Teoria!#REF!,"AAAAAG9v8ZA=",0)</f>
        <v>#REF!</v>
      </c>
      <c r="EP1" t="e">
        <f>AND(Teoria!#REF!,"AAAAAG9v8ZE=")</f>
        <v>#REF!</v>
      </c>
      <c r="EQ1" t="e">
        <f>AND(Teoria!#REF!,"AAAAAG9v8ZI=")</f>
        <v>#REF!</v>
      </c>
      <c r="ER1" t="e">
        <f>AND(Teoria!#REF!,"AAAAAG9v8ZM=")</f>
        <v>#REF!</v>
      </c>
      <c r="ES1" t="e">
        <f>AND(Teoria!#REF!,"AAAAAG9v8ZQ=")</f>
        <v>#REF!</v>
      </c>
      <c r="ET1" t="e">
        <f>AND(Teoria!#REF!,"AAAAAG9v8ZU=")</f>
        <v>#REF!</v>
      </c>
      <c r="EU1" t="e">
        <f>AND(Teoria!#REF!,"AAAAAG9v8ZY=")</f>
        <v>#REF!</v>
      </c>
      <c r="EV1" t="e">
        <f>AND(Teoria!#REF!,"AAAAAG9v8Zc=")</f>
        <v>#REF!</v>
      </c>
      <c r="EW1" t="e">
        <f>AND(Teoria!#REF!,"AAAAAG9v8Zg=")</f>
        <v>#REF!</v>
      </c>
      <c r="EX1" t="e">
        <f>AND(Teoria!#REF!,"AAAAAG9v8Zk=")</f>
        <v>#REF!</v>
      </c>
      <c r="EY1" t="e">
        <f>AND(Teoria!#REF!,"AAAAAG9v8Zo=")</f>
        <v>#REF!</v>
      </c>
      <c r="EZ1" t="e">
        <f>AND(Teoria!#REF!,"AAAAAG9v8Zs=")</f>
        <v>#REF!</v>
      </c>
      <c r="FA1" t="e">
        <f>AND(Teoria!#REF!,"AAAAAG9v8Zw=")</f>
        <v>#REF!</v>
      </c>
      <c r="FB1" t="e">
        <f>AND(Teoria!#REF!,"AAAAAG9v8Z0=")</f>
        <v>#REF!</v>
      </c>
      <c r="FC1" t="e">
        <f>AND(Teoria!#REF!,"AAAAAG9v8Z4=")</f>
        <v>#REF!</v>
      </c>
      <c r="FD1" t="e">
        <f>AND(Teoria!#REF!,"AAAAAG9v8Z8=")</f>
        <v>#REF!</v>
      </c>
      <c r="FE1">
        <f>IF(Teoria!10:10,"AAAAAG9v8aA=",0)</f>
        <v>0</v>
      </c>
      <c r="FF1" t="e">
        <f>AND(Teoria!A10,"AAAAAG9v8aE=")</f>
        <v>#VALUE!</v>
      </c>
      <c r="FG1" t="e">
        <f>AND(Teoria!#REF!,"AAAAAG9v8aI=")</f>
        <v>#REF!</v>
      </c>
      <c r="FH1" t="e">
        <f>AND(Teoria!B10,"AAAAAG9v8aM=")</f>
        <v>#VALUE!</v>
      </c>
      <c r="FI1" t="e">
        <f>AND(Teoria!C10,"AAAAAG9v8aQ=")</f>
        <v>#VALUE!</v>
      </c>
      <c r="FJ1" t="e">
        <f>AND(Teoria!D10,"AAAAAG9v8aU=")</f>
        <v>#VALUE!</v>
      </c>
      <c r="FK1" t="e">
        <f>AND(Teoria!E10,"AAAAAG9v8aY=")</f>
        <v>#VALUE!</v>
      </c>
      <c r="FL1" t="e">
        <f>AND(Teoria!F10,"AAAAAG9v8ac=")</f>
        <v>#VALUE!</v>
      </c>
      <c r="FM1" t="e">
        <f>AND(Teoria!G10,"AAAAAG9v8ag=")</f>
        <v>#VALUE!</v>
      </c>
      <c r="FN1" t="e">
        <f>AND(Teoria!H10,"AAAAAG9v8ak=")</f>
        <v>#VALUE!</v>
      </c>
      <c r="FO1" t="e">
        <f>AND(Teoria!I10,"AAAAAG9v8ao=")</f>
        <v>#VALUE!</v>
      </c>
      <c r="FP1" t="e">
        <f>AND(Teoria!#REF!,"AAAAAG9v8as=")</f>
        <v>#REF!</v>
      </c>
      <c r="FQ1" t="e">
        <f>AND(Teoria!#REF!,"AAAAAG9v8aw=")</f>
        <v>#REF!</v>
      </c>
      <c r="FR1" t="e">
        <f>AND(Teoria!J10,"AAAAAG9v8a0=")</f>
        <v>#VALUE!</v>
      </c>
      <c r="FS1" t="e">
        <f>AND(Teoria!K10,"AAAAAG9v8a4=")</f>
        <v>#VALUE!</v>
      </c>
      <c r="FT1" t="e">
        <f>AND(Teoria!L10,"AAAAAG9v8a8=")</f>
        <v>#VALUE!</v>
      </c>
      <c r="FU1" t="e">
        <f>IF(Teoria!#REF!,"AAAAAG9v8bA=",0)</f>
        <v>#REF!</v>
      </c>
      <c r="FV1" t="e">
        <f>AND(Teoria!#REF!,"AAAAAG9v8bE=")</f>
        <v>#REF!</v>
      </c>
      <c r="FW1" t="e">
        <f>AND(Teoria!#REF!,"AAAAAG9v8bI=")</f>
        <v>#REF!</v>
      </c>
      <c r="FX1" t="e">
        <f>AND(Teoria!#REF!,"AAAAAG9v8bM=")</f>
        <v>#REF!</v>
      </c>
      <c r="FY1" t="e">
        <f>AND(Teoria!#REF!,"AAAAAG9v8bQ=")</f>
        <v>#REF!</v>
      </c>
      <c r="FZ1" t="e">
        <f>AND(Teoria!#REF!,"AAAAAG9v8bU=")</f>
        <v>#REF!</v>
      </c>
      <c r="GA1" t="e">
        <f>AND(Teoria!#REF!,"AAAAAG9v8bY=")</f>
        <v>#REF!</v>
      </c>
      <c r="GB1" t="e">
        <f>AND(Teoria!#REF!,"AAAAAG9v8bc=")</f>
        <v>#REF!</v>
      </c>
      <c r="GC1" t="e">
        <f>AND(Teoria!#REF!,"AAAAAG9v8bg=")</f>
        <v>#REF!</v>
      </c>
      <c r="GD1" t="e">
        <f>AND(Teoria!#REF!,"AAAAAG9v8bk=")</f>
        <v>#REF!</v>
      </c>
      <c r="GE1" t="e">
        <f>AND(Teoria!#REF!,"AAAAAG9v8bo=")</f>
        <v>#REF!</v>
      </c>
      <c r="GF1" t="e">
        <f>AND(Teoria!#REF!,"AAAAAG9v8bs=")</f>
        <v>#REF!</v>
      </c>
      <c r="GG1" t="e">
        <f>AND(Teoria!#REF!,"AAAAAG9v8bw=")</f>
        <v>#REF!</v>
      </c>
      <c r="GH1" t="e">
        <f>AND(Teoria!#REF!,"AAAAAG9v8b0=")</f>
        <v>#REF!</v>
      </c>
      <c r="GI1" t="e">
        <f>AND(Teoria!#REF!,"AAAAAG9v8b4=")</f>
        <v>#REF!</v>
      </c>
      <c r="GJ1" t="e">
        <f>AND(Teoria!#REF!,"AAAAAG9v8b8=")</f>
        <v>#REF!</v>
      </c>
      <c r="GK1">
        <f>IF(Teoria!11:11,"AAAAAG9v8cA=",0)</f>
        <v>0</v>
      </c>
      <c r="GL1" t="e">
        <f>AND(Teoria!A11,"AAAAAG9v8cE=")</f>
        <v>#VALUE!</v>
      </c>
      <c r="GM1" t="e">
        <f>AND(Teoria!#REF!,"AAAAAG9v8cI=")</f>
        <v>#REF!</v>
      </c>
      <c r="GN1" t="e">
        <f>AND(Teoria!B11,"AAAAAG9v8cM=")</f>
        <v>#VALUE!</v>
      </c>
      <c r="GO1" t="e">
        <f>AND(Teoria!C11,"AAAAAG9v8cQ=")</f>
        <v>#VALUE!</v>
      </c>
      <c r="GP1" t="e">
        <f>AND(Teoria!D11,"AAAAAG9v8cU=")</f>
        <v>#VALUE!</v>
      </c>
      <c r="GQ1" t="e">
        <f>AND(Teoria!E11,"AAAAAG9v8cY=")</f>
        <v>#VALUE!</v>
      </c>
      <c r="GR1" t="e">
        <f>AND(Teoria!F11,"AAAAAG9v8cc=")</f>
        <v>#VALUE!</v>
      </c>
      <c r="GS1" t="e">
        <f>AND(Teoria!G11,"AAAAAG9v8cg=")</f>
        <v>#VALUE!</v>
      </c>
      <c r="GT1" t="e">
        <f>AND(Teoria!H11,"AAAAAG9v8ck=")</f>
        <v>#VALUE!</v>
      </c>
      <c r="GU1" t="e">
        <f>AND(Teoria!I11,"AAAAAG9v8co=")</f>
        <v>#VALUE!</v>
      </c>
      <c r="GV1" t="e">
        <f>AND(Teoria!#REF!,"AAAAAG9v8cs=")</f>
        <v>#REF!</v>
      </c>
      <c r="GW1" t="e">
        <f>AND(Teoria!#REF!,"AAAAAG9v8cw=")</f>
        <v>#REF!</v>
      </c>
      <c r="GX1" t="e">
        <f>AND(Teoria!J11,"AAAAAG9v8c0=")</f>
        <v>#VALUE!</v>
      </c>
      <c r="GY1" t="e">
        <f>AND(Teoria!K11,"AAAAAG9v8c4=")</f>
        <v>#VALUE!</v>
      </c>
      <c r="GZ1" t="e">
        <f>AND(Teoria!L11,"AAAAAG9v8c8=")</f>
        <v>#VALUE!</v>
      </c>
      <c r="HA1">
        <f>IF(Teoria!12:12,"AAAAAG9v8dA=",0)</f>
        <v>0</v>
      </c>
      <c r="HB1" t="e">
        <f>AND(Teoria!A12,"AAAAAG9v8dE=")</f>
        <v>#VALUE!</v>
      </c>
      <c r="HC1" t="e">
        <f>AND(Teoria!#REF!,"AAAAAG9v8dI=")</f>
        <v>#REF!</v>
      </c>
      <c r="HD1" t="e">
        <f>AND(Teoria!B12,"AAAAAG9v8dM=")</f>
        <v>#VALUE!</v>
      </c>
      <c r="HE1" t="e">
        <f>AND(Teoria!C12,"AAAAAG9v8dQ=")</f>
        <v>#VALUE!</v>
      </c>
      <c r="HF1" t="e">
        <f>AND(Teoria!D12,"AAAAAG9v8dU=")</f>
        <v>#VALUE!</v>
      </c>
      <c r="HG1" t="e">
        <f>AND(Teoria!E12,"AAAAAG9v8dY=")</f>
        <v>#VALUE!</v>
      </c>
      <c r="HH1" t="e">
        <f>AND(Teoria!F12,"AAAAAG9v8dc=")</f>
        <v>#VALUE!</v>
      </c>
      <c r="HI1" t="e">
        <f>AND(Teoria!G12,"AAAAAG9v8dg=")</f>
        <v>#VALUE!</v>
      </c>
      <c r="HJ1" t="e">
        <f>AND(Teoria!H12,"AAAAAG9v8dk=")</f>
        <v>#VALUE!</v>
      </c>
      <c r="HK1" t="e">
        <f>AND(Teoria!I12,"AAAAAG9v8do=")</f>
        <v>#VALUE!</v>
      </c>
      <c r="HL1" t="e">
        <f>AND(Teoria!#REF!,"AAAAAG9v8ds=")</f>
        <v>#REF!</v>
      </c>
      <c r="HM1" t="e">
        <f>AND(Teoria!#REF!,"AAAAAG9v8dw=")</f>
        <v>#REF!</v>
      </c>
      <c r="HN1" t="e">
        <f>AND(Teoria!J12,"AAAAAG9v8d0=")</f>
        <v>#VALUE!</v>
      </c>
      <c r="HO1" t="e">
        <f>AND(Teoria!K12,"AAAAAG9v8d4=")</f>
        <v>#VALUE!</v>
      </c>
      <c r="HP1" t="e">
        <f>AND(Teoria!L12,"AAAAAG9v8d8=")</f>
        <v>#VALUE!</v>
      </c>
      <c r="HQ1">
        <f>IF(Teoria!13:13,"AAAAAG9v8eA=",0)</f>
        <v>0</v>
      </c>
      <c r="HR1" t="e">
        <f>AND(Teoria!A13,"AAAAAG9v8eE=")</f>
        <v>#VALUE!</v>
      </c>
      <c r="HS1" t="e">
        <f>AND(Teoria!#REF!,"AAAAAG9v8eI=")</f>
        <v>#REF!</v>
      </c>
      <c r="HT1" t="e">
        <f>AND(Teoria!B13,"AAAAAG9v8eM=")</f>
        <v>#VALUE!</v>
      </c>
      <c r="HU1" t="e">
        <f>AND(Teoria!C13,"AAAAAG9v8eQ=")</f>
        <v>#VALUE!</v>
      </c>
      <c r="HV1" t="e">
        <f>AND(Teoria!D13,"AAAAAG9v8eU=")</f>
        <v>#VALUE!</v>
      </c>
      <c r="HW1" t="e">
        <f>AND(Teoria!E13,"AAAAAG9v8eY=")</f>
        <v>#VALUE!</v>
      </c>
      <c r="HX1" t="e">
        <f>AND(Teoria!F13,"AAAAAG9v8ec=")</f>
        <v>#VALUE!</v>
      </c>
      <c r="HY1" t="e">
        <f>AND(Teoria!G13,"AAAAAG9v8eg=")</f>
        <v>#VALUE!</v>
      </c>
      <c r="HZ1" t="e">
        <f>AND(Teoria!H13,"AAAAAG9v8ek=")</f>
        <v>#VALUE!</v>
      </c>
      <c r="IA1" t="e">
        <f>AND(Teoria!I13,"AAAAAG9v8eo=")</f>
        <v>#VALUE!</v>
      </c>
      <c r="IB1" t="e">
        <f>AND(Teoria!#REF!,"AAAAAG9v8es=")</f>
        <v>#REF!</v>
      </c>
      <c r="IC1" t="e">
        <f>AND(Teoria!#REF!,"AAAAAG9v8ew=")</f>
        <v>#REF!</v>
      </c>
      <c r="ID1" t="e">
        <f>AND(Teoria!J13,"AAAAAG9v8e0=")</f>
        <v>#VALUE!</v>
      </c>
      <c r="IE1" t="e">
        <f>AND(Teoria!K13,"AAAAAG9v8e4=")</f>
        <v>#VALUE!</v>
      </c>
      <c r="IF1" t="e">
        <f>AND(Teoria!L13,"AAAAAG9v8e8=")</f>
        <v>#VALUE!</v>
      </c>
      <c r="IG1">
        <f>IF(Teoria!14:14,"AAAAAG9v8fA=",0)</f>
        <v>0</v>
      </c>
      <c r="IH1" t="e">
        <f>AND(Teoria!A14,"AAAAAG9v8fE=")</f>
        <v>#VALUE!</v>
      </c>
      <c r="II1" t="e">
        <f>AND(Teoria!#REF!,"AAAAAG9v8fI=")</f>
        <v>#REF!</v>
      </c>
      <c r="IJ1" t="e">
        <f>AND(Teoria!B14,"AAAAAG9v8fM=")</f>
        <v>#VALUE!</v>
      </c>
      <c r="IK1" t="e">
        <f>AND(Teoria!C14,"AAAAAG9v8fQ=")</f>
        <v>#VALUE!</v>
      </c>
      <c r="IL1" t="e">
        <f>AND(Teoria!D14,"AAAAAG9v8fU=")</f>
        <v>#VALUE!</v>
      </c>
      <c r="IM1" t="e">
        <f>AND(Teoria!E14,"AAAAAG9v8fY=")</f>
        <v>#VALUE!</v>
      </c>
      <c r="IN1" t="e">
        <f>AND(Teoria!F14,"AAAAAG9v8fc=")</f>
        <v>#VALUE!</v>
      </c>
      <c r="IO1" t="e">
        <f>AND(Teoria!G14,"AAAAAG9v8fg=")</f>
        <v>#VALUE!</v>
      </c>
      <c r="IP1" t="e">
        <f>AND(Teoria!H14,"AAAAAG9v8fk=")</f>
        <v>#VALUE!</v>
      </c>
      <c r="IQ1" t="e">
        <f>AND(Teoria!I14,"AAAAAG9v8fo=")</f>
        <v>#VALUE!</v>
      </c>
      <c r="IR1" t="e">
        <f>AND(Teoria!#REF!,"AAAAAG9v8fs=")</f>
        <v>#REF!</v>
      </c>
      <c r="IS1" t="e">
        <f>AND(Teoria!#REF!,"AAAAAG9v8fw=")</f>
        <v>#REF!</v>
      </c>
      <c r="IT1" t="e">
        <f>AND(Teoria!J14,"AAAAAG9v8f0=")</f>
        <v>#VALUE!</v>
      </c>
      <c r="IU1" t="e">
        <f>AND(Teoria!K14,"AAAAAG9v8f4=")</f>
        <v>#VALUE!</v>
      </c>
      <c r="IV1" t="e">
        <f>AND(Teoria!L14,"AAAAAG9v8f8=")</f>
        <v>#VALUE!</v>
      </c>
    </row>
    <row r="2" spans="1:256" x14ac:dyDescent="0.35">
      <c r="A2" t="e">
        <f>IF(Teoria!15:15,"AAAAAHr9fgA=",0)</f>
        <v>#VALUE!</v>
      </c>
      <c r="B2" t="e">
        <f>AND(Teoria!A15,"AAAAAHr9fgE=")</f>
        <v>#VALUE!</v>
      </c>
      <c r="C2" t="e">
        <f>AND(Teoria!#REF!,"AAAAAHr9fgI=")</f>
        <v>#REF!</v>
      </c>
      <c r="D2" t="e">
        <f>AND(Teoria!B15,"AAAAAHr9fgM=")</f>
        <v>#VALUE!</v>
      </c>
      <c r="E2" t="e">
        <f>AND(Teoria!C15,"AAAAAHr9fgQ=")</f>
        <v>#VALUE!</v>
      </c>
      <c r="F2" t="e">
        <f>AND(Teoria!D15,"AAAAAHr9fgU=")</f>
        <v>#VALUE!</v>
      </c>
      <c r="G2" t="e">
        <f>AND(Teoria!E15,"AAAAAHr9fgY=")</f>
        <v>#VALUE!</v>
      </c>
      <c r="H2" t="e">
        <f>AND(Teoria!F15,"AAAAAHr9fgc=")</f>
        <v>#VALUE!</v>
      </c>
      <c r="I2" t="e">
        <f>AND(Teoria!G15,"AAAAAHr9fgg=")</f>
        <v>#VALUE!</v>
      </c>
      <c r="J2" t="e">
        <f>AND(Teoria!H15,"AAAAAHr9fgk=")</f>
        <v>#VALUE!</v>
      </c>
      <c r="K2" t="e">
        <f>AND(Teoria!I15,"AAAAAHr9fgo=")</f>
        <v>#VALUE!</v>
      </c>
      <c r="L2" t="e">
        <f>AND(Teoria!#REF!,"AAAAAHr9fgs=")</f>
        <v>#REF!</v>
      </c>
      <c r="M2" t="e">
        <f>AND(Teoria!#REF!,"AAAAAHr9fgw=")</f>
        <v>#REF!</v>
      </c>
      <c r="N2" t="e">
        <f>AND(Teoria!J15,"AAAAAHr9fg0=")</f>
        <v>#VALUE!</v>
      </c>
      <c r="O2" t="e">
        <f>AND(Teoria!K15,"AAAAAHr9fg4=")</f>
        <v>#VALUE!</v>
      </c>
      <c r="P2" t="e">
        <f>AND(Teoria!L15,"AAAAAHr9fg8=")</f>
        <v>#VALUE!</v>
      </c>
      <c r="Q2">
        <f>IF(Teoria!16:16,"AAAAAHr9fhA=",0)</f>
        <v>0</v>
      </c>
      <c r="R2" t="e">
        <f>AND(Teoria!A16,"AAAAAHr9fhE=")</f>
        <v>#VALUE!</v>
      </c>
      <c r="S2" t="e">
        <f>AND(Teoria!#REF!,"AAAAAHr9fhI=")</f>
        <v>#REF!</v>
      </c>
      <c r="T2" t="e">
        <f>AND(Teoria!B16,"AAAAAHr9fhM=")</f>
        <v>#VALUE!</v>
      </c>
      <c r="U2" t="e">
        <f>AND(Teoria!C16,"AAAAAHr9fhQ=")</f>
        <v>#VALUE!</v>
      </c>
      <c r="V2" t="e">
        <f>AND(Teoria!D16,"AAAAAHr9fhU=")</f>
        <v>#VALUE!</v>
      </c>
      <c r="W2" t="e">
        <f>AND(Teoria!E16,"AAAAAHr9fhY=")</f>
        <v>#VALUE!</v>
      </c>
      <c r="X2" t="e">
        <f>AND(Teoria!F16,"AAAAAHr9fhc=")</f>
        <v>#VALUE!</v>
      </c>
      <c r="Y2" t="e">
        <f>AND(Teoria!G16,"AAAAAHr9fhg=")</f>
        <v>#VALUE!</v>
      </c>
      <c r="Z2" t="e">
        <f>AND(Teoria!H16,"AAAAAHr9fhk=")</f>
        <v>#VALUE!</v>
      </c>
      <c r="AA2" t="e">
        <f>AND(Teoria!I16,"AAAAAHr9fho=")</f>
        <v>#VALUE!</v>
      </c>
      <c r="AB2" t="e">
        <f>AND(Teoria!#REF!,"AAAAAHr9fhs=")</f>
        <v>#REF!</v>
      </c>
      <c r="AC2" t="e">
        <f>AND(Teoria!#REF!,"AAAAAHr9fhw=")</f>
        <v>#REF!</v>
      </c>
      <c r="AD2" t="e">
        <f>AND(Teoria!J16,"AAAAAHr9fh0=")</f>
        <v>#VALUE!</v>
      </c>
      <c r="AE2" t="e">
        <f>AND(Teoria!K16,"AAAAAHr9fh4=")</f>
        <v>#VALUE!</v>
      </c>
      <c r="AF2" t="e">
        <f>AND(Teoria!L16,"AAAAAHr9fh8=")</f>
        <v>#VALUE!</v>
      </c>
      <c r="AG2" t="e">
        <f>IF(Teoria!#REF!,"AAAAAHr9fiA=",0)</f>
        <v>#REF!</v>
      </c>
      <c r="AH2" t="e">
        <f>AND(Teoria!#REF!,"AAAAAHr9fiE=")</f>
        <v>#REF!</v>
      </c>
      <c r="AI2" t="e">
        <f>AND(Teoria!#REF!,"AAAAAHr9fiI=")</f>
        <v>#REF!</v>
      </c>
      <c r="AJ2" t="e">
        <f>AND(Teoria!#REF!,"AAAAAHr9fiM=")</f>
        <v>#REF!</v>
      </c>
      <c r="AK2" t="e">
        <f>AND(Teoria!#REF!,"AAAAAHr9fiQ=")</f>
        <v>#REF!</v>
      </c>
      <c r="AL2" t="e">
        <f>AND(Teoria!#REF!,"AAAAAHr9fiU=")</f>
        <v>#REF!</v>
      </c>
      <c r="AM2" t="e">
        <f>AND(Teoria!#REF!,"AAAAAHr9fiY=")</f>
        <v>#REF!</v>
      </c>
      <c r="AN2" t="e">
        <f>AND(Teoria!#REF!,"AAAAAHr9fic=")</f>
        <v>#REF!</v>
      </c>
      <c r="AO2" t="e">
        <f>AND(Teoria!#REF!,"AAAAAHr9fig=")</f>
        <v>#REF!</v>
      </c>
      <c r="AP2" t="e">
        <f>AND(Teoria!#REF!,"AAAAAHr9fik=")</f>
        <v>#REF!</v>
      </c>
      <c r="AQ2" t="e">
        <f>AND(Teoria!#REF!,"AAAAAHr9fio=")</f>
        <v>#REF!</v>
      </c>
      <c r="AR2" t="e">
        <f>AND(Teoria!#REF!,"AAAAAHr9fis=")</f>
        <v>#REF!</v>
      </c>
      <c r="AS2" t="e">
        <f>AND(Teoria!#REF!,"AAAAAHr9fiw=")</f>
        <v>#REF!</v>
      </c>
      <c r="AT2" t="e">
        <f>AND(Teoria!#REF!,"AAAAAHr9fi0=")</f>
        <v>#REF!</v>
      </c>
      <c r="AU2" t="e">
        <f>AND(Teoria!#REF!,"AAAAAHr9fi4=")</f>
        <v>#REF!</v>
      </c>
      <c r="AV2" t="e">
        <f>AND(Teoria!#REF!,"AAAAAHr9fi8=")</f>
        <v>#REF!</v>
      </c>
      <c r="AW2" t="e">
        <f>IF(Teoria!#REF!,"AAAAAHr9fjA=",0)</f>
        <v>#REF!</v>
      </c>
      <c r="AX2" t="e">
        <f>AND(Teoria!#REF!,"AAAAAHr9fjE=")</f>
        <v>#REF!</v>
      </c>
      <c r="AY2" t="e">
        <f>AND(Teoria!#REF!,"AAAAAHr9fjI=")</f>
        <v>#REF!</v>
      </c>
      <c r="AZ2" t="e">
        <f>AND(Teoria!#REF!,"AAAAAHr9fjM=")</f>
        <v>#REF!</v>
      </c>
      <c r="BA2" t="e">
        <f>AND(Teoria!#REF!,"AAAAAHr9fjQ=")</f>
        <v>#REF!</v>
      </c>
      <c r="BB2" t="e">
        <f>AND(Teoria!#REF!,"AAAAAHr9fjU=")</f>
        <v>#REF!</v>
      </c>
      <c r="BC2" t="e">
        <f>AND(Teoria!#REF!,"AAAAAHr9fjY=")</f>
        <v>#REF!</v>
      </c>
      <c r="BD2" t="e">
        <f>AND(Teoria!#REF!,"AAAAAHr9fjc=")</f>
        <v>#REF!</v>
      </c>
      <c r="BE2" t="e">
        <f>AND(Teoria!#REF!,"AAAAAHr9fjg=")</f>
        <v>#REF!</v>
      </c>
      <c r="BF2" t="e">
        <f>AND(Teoria!#REF!,"AAAAAHr9fjk=")</f>
        <v>#REF!</v>
      </c>
      <c r="BG2" t="e">
        <f>AND(Teoria!#REF!,"AAAAAHr9fjo=")</f>
        <v>#REF!</v>
      </c>
      <c r="BH2" t="e">
        <f>AND(Teoria!#REF!,"AAAAAHr9fjs=")</f>
        <v>#REF!</v>
      </c>
      <c r="BI2" t="e">
        <f>AND(Teoria!#REF!,"AAAAAHr9fjw=")</f>
        <v>#REF!</v>
      </c>
      <c r="BJ2" t="e">
        <f>AND(Teoria!#REF!,"AAAAAHr9fj0=")</f>
        <v>#REF!</v>
      </c>
      <c r="BK2" t="e">
        <f>AND(Teoria!#REF!,"AAAAAHr9fj4=")</f>
        <v>#REF!</v>
      </c>
      <c r="BL2" t="e">
        <f>AND(Teoria!#REF!,"AAAAAHr9fj8=")</f>
        <v>#REF!</v>
      </c>
      <c r="BM2" t="e">
        <f>IF(Teoria!#REF!,"AAAAAHr9fkA=",0)</f>
        <v>#REF!</v>
      </c>
      <c r="BN2" t="e">
        <f>AND(Teoria!#REF!,"AAAAAHr9fkE=")</f>
        <v>#REF!</v>
      </c>
      <c r="BO2" t="e">
        <f>AND(Teoria!#REF!,"AAAAAHr9fkI=")</f>
        <v>#REF!</v>
      </c>
      <c r="BP2" t="e">
        <f>AND(Teoria!#REF!,"AAAAAHr9fkM=")</f>
        <v>#REF!</v>
      </c>
      <c r="BQ2" t="e">
        <f>AND(Teoria!#REF!,"AAAAAHr9fkQ=")</f>
        <v>#REF!</v>
      </c>
      <c r="BR2" t="e">
        <f>AND(Teoria!#REF!,"AAAAAHr9fkU=")</f>
        <v>#REF!</v>
      </c>
      <c r="BS2" t="e">
        <f>AND(Teoria!#REF!,"AAAAAHr9fkY=")</f>
        <v>#REF!</v>
      </c>
      <c r="BT2" t="e">
        <f>AND(Teoria!#REF!,"AAAAAHr9fkc=")</f>
        <v>#REF!</v>
      </c>
      <c r="BU2" t="e">
        <f>AND(Teoria!#REF!,"AAAAAHr9fkg=")</f>
        <v>#REF!</v>
      </c>
      <c r="BV2" t="e">
        <f>AND(Teoria!#REF!,"AAAAAHr9fkk=")</f>
        <v>#REF!</v>
      </c>
      <c r="BW2" t="e">
        <f>AND(Teoria!#REF!,"AAAAAHr9fko=")</f>
        <v>#REF!</v>
      </c>
      <c r="BX2" t="e">
        <f>AND(Teoria!#REF!,"AAAAAHr9fks=")</f>
        <v>#REF!</v>
      </c>
      <c r="BY2" t="e">
        <f>AND(Teoria!#REF!,"AAAAAHr9fkw=")</f>
        <v>#REF!</v>
      </c>
      <c r="BZ2" t="e">
        <f>AND(Teoria!#REF!,"AAAAAHr9fk0=")</f>
        <v>#REF!</v>
      </c>
      <c r="CA2" t="e">
        <f>AND(Teoria!#REF!,"AAAAAHr9fk4=")</f>
        <v>#REF!</v>
      </c>
      <c r="CB2" t="e">
        <f>AND(Teoria!#REF!,"AAAAAHr9fk8=")</f>
        <v>#REF!</v>
      </c>
      <c r="CC2" t="e">
        <f>IF(Teoria!#REF!,"AAAAAHr9flA=",0)</f>
        <v>#REF!</v>
      </c>
      <c r="CD2" t="e">
        <f>AND(Teoria!#REF!,"AAAAAHr9flE=")</f>
        <v>#REF!</v>
      </c>
      <c r="CE2" t="e">
        <f>AND(Teoria!#REF!,"AAAAAHr9flI=")</f>
        <v>#REF!</v>
      </c>
      <c r="CF2" t="e">
        <f>AND(Teoria!#REF!,"AAAAAHr9flM=")</f>
        <v>#REF!</v>
      </c>
      <c r="CG2" t="e">
        <f>AND(Teoria!#REF!,"AAAAAHr9flQ=")</f>
        <v>#REF!</v>
      </c>
      <c r="CH2" t="e">
        <f>AND(Teoria!#REF!,"AAAAAHr9flU=")</f>
        <v>#REF!</v>
      </c>
      <c r="CI2" t="e">
        <f>AND(Teoria!#REF!,"AAAAAHr9flY=")</f>
        <v>#REF!</v>
      </c>
      <c r="CJ2" t="e">
        <f>AND(Teoria!#REF!,"AAAAAHr9flc=")</f>
        <v>#REF!</v>
      </c>
      <c r="CK2" t="e">
        <f>AND(Teoria!#REF!,"AAAAAHr9flg=")</f>
        <v>#REF!</v>
      </c>
      <c r="CL2" t="e">
        <f>AND(Teoria!#REF!,"AAAAAHr9flk=")</f>
        <v>#REF!</v>
      </c>
      <c r="CM2" t="e">
        <f>AND(Teoria!#REF!,"AAAAAHr9flo=")</f>
        <v>#REF!</v>
      </c>
      <c r="CN2" t="e">
        <f>AND(Teoria!#REF!,"AAAAAHr9fls=")</f>
        <v>#REF!</v>
      </c>
      <c r="CO2" t="e">
        <f>AND(Teoria!#REF!,"AAAAAHr9flw=")</f>
        <v>#REF!</v>
      </c>
      <c r="CP2" t="e">
        <f>AND(Teoria!#REF!,"AAAAAHr9fl0=")</f>
        <v>#REF!</v>
      </c>
      <c r="CQ2" t="e">
        <f>AND(Teoria!#REF!,"AAAAAHr9fl4=")</f>
        <v>#REF!</v>
      </c>
      <c r="CR2" t="e">
        <f>AND(Teoria!#REF!,"AAAAAHr9fl8=")</f>
        <v>#REF!</v>
      </c>
      <c r="CS2" t="e">
        <f>IF(Teoria!#REF!,"AAAAAHr9fmA=",0)</f>
        <v>#REF!</v>
      </c>
      <c r="CT2" t="e">
        <f>AND(Teoria!#REF!,"AAAAAHr9fmE=")</f>
        <v>#REF!</v>
      </c>
      <c r="CU2" t="e">
        <f>AND(Teoria!#REF!,"AAAAAHr9fmI=")</f>
        <v>#REF!</v>
      </c>
      <c r="CV2" t="e">
        <f>AND(Teoria!#REF!,"AAAAAHr9fmM=")</f>
        <v>#REF!</v>
      </c>
      <c r="CW2" t="e">
        <f>AND(Teoria!#REF!,"AAAAAHr9fmQ=")</f>
        <v>#REF!</v>
      </c>
      <c r="CX2" t="e">
        <f>AND(Teoria!#REF!,"AAAAAHr9fmU=")</f>
        <v>#REF!</v>
      </c>
      <c r="CY2" t="e">
        <f>AND(Teoria!#REF!,"AAAAAHr9fmY=")</f>
        <v>#REF!</v>
      </c>
      <c r="CZ2" t="e">
        <f>AND(Teoria!#REF!,"AAAAAHr9fmc=")</f>
        <v>#REF!</v>
      </c>
      <c r="DA2" t="e">
        <f>AND(Teoria!#REF!,"AAAAAHr9fmg=")</f>
        <v>#REF!</v>
      </c>
      <c r="DB2" t="e">
        <f>AND(Teoria!#REF!,"AAAAAHr9fmk=")</f>
        <v>#REF!</v>
      </c>
      <c r="DC2" t="e">
        <f>AND(Teoria!#REF!,"AAAAAHr9fmo=")</f>
        <v>#REF!</v>
      </c>
      <c r="DD2" t="e">
        <f>AND(Teoria!#REF!,"AAAAAHr9fms=")</f>
        <v>#REF!</v>
      </c>
      <c r="DE2" t="e">
        <f>AND(Teoria!#REF!,"AAAAAHr9fmw=")</f>
        <v>#REF!</v>
      </c>
      <c r="DF2" t="e">
        <f>AND(Teoria!#REF!,"AAAAAHr9fm0=")</f>
        <v>#REF!</v>
      </c>
      <c r="DG2" t="e">
        <f>AND(Teoria!#REF!,"AAAAAHr9fm4=")</f>
        <v>#REF!</v>
      </c>
      <c r="DH2" t="e">
        <f>AND(Teoria!#REF!,"AAAAAHr9fm8=")</f>
        <v>#REF!</v>
      </c>
      <c r="DI2" t="e">
        <f>IF(Teoria!#REF!,"AAAAAHr9fnA=",0)</f>
        <v>#REF!</v>
      </c>
      <c r="DJ2" t="e">
        <f>AND(Teoria!#REF!,"AAAAAHr9fnE=")</f>
        <v>#REF!</v>
      </c>
      <c r="DK2" t="e">
        <f>AND(Teoria!#REF!,"AAAAAHr9fnI=")</f>
        <v>#REF!</v>
      </c>
      <c r="DL2" t="e">
        <f>AND(Teoria!#REF!,"AAAAAHr9fnM=")</f>
        <v>#REF!</v>
      </c>
      <c r="DM2" t="e">
        <f>AND(Teoria!#REF!,"AAAAAHr9fnQ=")</f>
        <v>#REF!</v>
      </c>
      <c r="DN2" t="e">
        <f>AND(Teoria!#REF!,"AAAAAHr9fnU=")</f>
        <v>#REF!</v>
      </c>
      <c r="DO2" t="e">
        <f>AND(Teoria!#REF!,"AAAAAHr9fnY=")</f>
        <v>#REF!</v>
      </c>
      <c r="DP2" t="e">
        <f>AND(Teoria!#REF!,"AAAAAHr9fnc=")</f>
        <v>#REF!</v>
      </c>
      <c r="DQ2" t="e">
        <f>AND(Teoria!#REF!,"AAAAAHr9fng=")</f>
        <v>#REF!</v>
      </c>
      <c r="DR2" t="e">
        <f>AND(Teoria!#REF!,"AAAAAHr9fnk=")</f>
        <v>#REF!</v>
      </c>
      <c r="DS2" t="e">
        <f>AND(Teoria!#REF!,"AAAAAHr9fno=")</f>
        <v>#REF!</v>
      </c>
      <c r="DT2" t="e">
        <f>AND(Teoria!#REF!,"AAAAAHr9fns=")</f>
        <v>#REF!</v>
      </c>
      <c r="DU2" t="e">
        <f>AND(Teoria!#REF!,"AAAAAHr9fnw=")</f>
        <v>#REF!</v>
      </c>
      <c r="DV2" t="e">
        <f>AND(Teoria!#REF!,"AAAAAHr9fn0=")</f>
        <v>#REF!</v>
      </c>
      <c r="DW2" t="e">
        <f>AND(Teoria!#REF!,"AAAAAHr9fn4=")</f>
        <v>#REF!</v>
      </c>
      <c r="DX2" t="e">
        <f>AND(Teoria!#REF!,"AAAAAHr9fn8=")</f>
        <v>#REF!</v>
      </c>
      <c r="DY2" t="e">
        <f>IF(Teoria!#REF!,"AAAAAHr9foA=",0)</f>
        <v>#REF!</v>
      </c>
      <c r="DZ2" t="e">
        <f>AND(Teoria!#REF!,"AAAAAHr9foE=")</f>
        <v>#REF!</v>
      </c>
      <c r="EA2" t="e">
        <f>AND(Teoria!#REF!,"AAAAAHr9foI=")</f>
        <v>#REF!</v>
      </c>
      <c r="EB2" t="e">
        <f>AND(Teoria!#REF!,"AAAAAHr9foM=")</f>
        <v>#REF!</v>
      </c>
      <c r="EC2" t="e">
        <f>AND(Teoria!#REF!,"AAAAAHr9foQ=")</f>
        <v>#REF!</v>
      </c>
      <c r="ED2" t="e">
        <f>AND(Teoria!#REF!,"AAAAAHr9foU=")</f>
        <v>#REF!</v>
      </c>
      <c r="EE2" t="e">
        <f>AND(Teoria!#REF!,"AAAAAHr9foY=")</f>
        <v>#REF!</v>
      </c>
      <c r="EF2" t="e">
        <f>AND(Teoria!#REF!,"AAAAAHr9foc=")</f>
        <v>#REF!</v>
      </c>
      <c r="EG2" t="e">
        <f>AND(Teoria!#REF!,"AAAAAHr9fog=")</f>
        <v>#REF!</v>
      </c>
      <c r="EH2" t="e">
        <f>AND(Teoria!#REF!,"AAAAAHr9fok=")</f>
        <v>#REF!</v>
      </c>
      <c r="EI2" t="e">
        <f>AND(Teoria!#REF!,"AAAAAHr9foo=")</f>
        <v>#REF!</v>
      </c>
      <c r="EJ2" t="e">
        <f>AND(Teoria!#REF!,"AAAAAHr9fos=")</f>
        <v>#REF!</v>
      </c>
      <c r="EK2" t="e">
        <f>AND(Teoria!#REF!,"AAAAAHr9fow=")</f>
        <v>#REF!</v>
      </c>
      <c r="EL2" t="e">
        <f>AND(Teoria!#REF!,"AAAAAHr9fo0=")</f>
        <v>#REF!</v>
      </c>
      <c r="EM2" t="e">
        <f>AND(Teoria!#REF!,"AAAAAHr9fo4=")</f>
        <v>#REF!</v>
      </c>
      <c r="EN2" t="e">
        <f>AND(Teoria!#REF!,"AAAAAHr9fo8=")</f>
        <v>#REF!</v>
      </c>
      <c r="EO2" t="e">
        <f>IF(Teoria!#REF!,"AAAAAHr9fpA=",0)</f>
        <v>#REF!</v>
      </c>
      <c r="EP2" t="e">
        <f>AND(Teoria!#REF!,"AAAAAHr9fpE=")</f>
        <v>#REF!</v>
      </c>
      <c r="EQ2" t="e">
        <f>AND(Teoria!#REF!,"AAAAAHr9fpI=")</f>
        <v>#REF!</v>
      </c>
      <c r="ER2" t="e">
        <f>AND(Teoria!#REF!,"AAAAAHr9fpM=")</f>
        <v>#REF!</v>
      </c>
      <c r="ES2" t="e">
        <f>AND(Teoria!#REF!,"AAAAAHr9fpQ=")</f>
        <v>#REF!</v>
      </c>
      <c r="ET2" t="e">
        <f>AND(Teoria!#REF!,"AAAAAHr9fpU=")</f>
        <v>#REF!</v>
      </c>
      <c r="EU2" t="e">
        <f>AND(Teoria!#REF!,"AAAAAHr9fpY=")</f>
        <v>#REF!</v>
      </c>
      <c r="EV2" t="e">
        <f>AND(Teoria!#REF!,"AAAAAHr9fpc=")</f>
        <v>#REF!</v>
      </c>
      <c r="EW2" t="e">
        <f>AND(Teoria!#REF!,"AAAAAHr9fpg=")</f>
        <v>#REF!</v>
      </c>
      <c r="EX2" t="e">
        <f>AND(Teoria!#REF!,"AAAAAHr9fpk=")</f>
        <v>#REF!</v>
      </c>
      <c r="EY2" t="e">
        <f>AND(Teoria!#REF!,"AAAAAHr9fpo=")</f>
        <v>#REF!</v>
      </c>
      <c r="EZ2" t="e">
        <f>AND(Teoria!#REF!,"AAAAAHr9fps=")</f>
        <v>#REF!</v>
      </c>
      <c r="FA2" t="e">
        <f>AND(Teoria!#REF!,"AAAAAHr9fpw=")</f>
        <v>#REF!</v>
      </c>
      <c r="FB2" t="e">
        <f>AND(Teoria!#REF!,"AAAAAHr9fp0=")</f>
        <v>#REF!</v>
      </c>
      <c r="FC2" t="e">
        <f>AND(Teoria!#REF!,"AAAAAHr9fp4=")</f>
        <v>#REF!</v>
      </c>
      <c r="FD2" t="e">
        <f>AND(Teoria!#REF!,"AAAAAHr9fp8=")</f>
        <v>#REF!</v>
      </c>
      <c r="FE2" t="e">
        <f>IF(Teoria!#REF!,"AAAAAHr9fqA=",0)</f>
        <v>#REF!</v>
      </c>
      <c r="FF2" t="e">
        <f>AND(Teoria!#REF!,"AAAAAHr9fqE=")</f>
        <v>#REF!</v>
      </c>
      <c r="FG2" t="e">
        <f>AND(Teoria!#REF!,"AAAAAHr9fqI=")</f>
        <v>#REF!</v>
      </c>
      <c r="FH2" t="e">
        <f>AND(Teoria!#REF!,"AAAAAHr9fqM=")</f>
        <v>#REF!</v>
      </c>
      <c r="FI2" t="e">
        <f>AND(Teoria!#REF!,"AAAAAHr9fqQ=")</f>
        <v>#REF!</v>
      </c>
      <c r="FJ2" t="e">
        <f>AND(Teoria!#REF!,"AAAAAHr9fqU=")</f>
        <v>#REF!</v>
      </c>
      <c r="FK2" t="e">
        <f>AND(Teoria!#REF!,"AAAAAHr9fqY=")</f>
        <v>#REF!</v>
      </c>
      <c r="FL2" t="e">
        <f>AND(Teoria!#REF!,"AAAAAHr9fqc=")</f>
        <v>#REF!</v>
      </c>
      <c r="FM2" t="e">
        <f>AND(Teoria!#REF!,"AAAAAHr9fqg=")</f>
        <v>#REF!</v>
      </c>
      <c r="FN2" t="e">
        <f>AND(Teoria!#REF!,"AAAAAHr9fqk=")</f>
        <v>#REF!</v>
      </c>
      <c r="FO2" t="e">
        <f>AND(Teoria!#REF!,"AAAAAHr9fqo=")</f>
        <v>#REF!</v>
      </c>
      <c r="FP2" t="e">
        <f>AND(Teoria!#REF!,"AAAAAHr9fqs=")</f>
        <v>#REF!</v>
      </c>
      <c r="FQ2" t="e">
        <f>AND(Teoria!#REF!,"AAAAAHr9fqw=")</f>
        <v>#REF!</v>
      </c>
      <c r="FR2" t="e">
        <f>AND(Teoria!#REF!,"AAAAAHr9fq0=")</f>
        <v>#REF!</v>
      </c>
      <c r="FS2" t="e">
        <f>AND(Teoria!#REF!,"AAAAAHr9fq4=")</f>
        <v>#REF!</v>
      </c>
      <c r="FT2" t="e">
        <f>AND(Teoria!#REF!,"AAAAAHr9fq8=")</f>
        <v>#REF!</v>
      </c>
      <c r="FU2" t="e">
        <f>IF(Teoria!A:A,"AAAAAHr9frA=",0)</f>
        <v>#VALUE!</v>
      </c>
      <c r="FV2" t="e">
        <f>IF(Teoria!#REF!,"AAAAAHr9frE=",0)</f>
        <v>#REF!</v>
      </c>
      <c r="FW2">
        <f>IF(Teoria!B:B,"AAAAAHr9frI=",0)</f>
        <v>0</v>
      </c>
      <c r="FX2">
        <f>IF(Teoria!C:C,"AAAAAHr9frM=",0)</f>
        <v>0</v>
      </c>
      <c r="FY2">
        <f>IF(Teoria!D:D,"AAAAAHr9frQ=",0)</f>
        <v>0</v>
      </c>
      <c r="FZ2">
        <f>IF(Teoria!E:E,"AAAAAHr9frU=",0)</f>
        <v>0</v>
      </c>
      <c r="GA2">
        <f>IF(Teoria!F:F,"AAAAAHr9frY=",0)</f>
        <v>0</v>
      </c>
      <c r="GB2">
        <f>IF(Teoria!G:G,"AAAAAHr9frc=",0)</f>
        <v>0</v>
      </c>
      <c r="GC2">
        <f>IF(Teoria!H:H,"AAAAAHr9frg=",0)</f>
        <v>0</v>
      </c>
      <c r="GD2">
        <f>IF(Teoria!I:I,"AAAAAHr9frk=",0)</f>
        <v>0</v>
      </c>
      <c r="GE2" t="e">
        <f>IF(Teoria!#REF!,"AAAAAHr9fro=",0)</f>
        <v>#REF!</v>
      </c>
      <c r="GF2" t="e">
        <f>IF(Teoria!#REF!,"AAAAAHr9frs=",0)</f>
        <v>#REF!</v>
      </c>
      <c r="GG2">
        <f>IF(Teoria!J:J,"AAAAAHr9frw=",0)</f>
        <v>0</v>
      </c>
      <c r="GH2">
        <f>IF(Teoria!K:K,"AAAAAHr9fr0=",0)</f>
        <v>0</v>
      </c>
      <c r="GI2">
        <f>IF(Teoria!L:L,"AAAAAHr9fr4=",0)</f>
        <v>0</v>
      </c>
      <c r="GJ2">
        <f>IF(Teoria!M:M,"AAAAAHr9fr8=",0)</f>
        <v>0</v>
      </c>
      <c r="GK2" t="e">
        <f>IF(Quices!#REF!,"AAAAAHr9fsA=",0)</f>
        <v>#REF!</v>
      </c>
      <c r="GL2" t="e">
        <f>AND(Quices!A1,"AAAAAHr9fsE=")</f>
        <v>#VALUE!</v>
      </c>
      <c r="GM2" t="e">
        <f>AND(Quices!#REF!,"AAAAAHr9fsI=")</f>
        <v>#REF!</v>
      </c>
      <c r="GN2" t="e">
        <f>AND(Quices!#REF!,"AAAAAHr9fsM=")</f>
        <v>#REF!</v>
      </c>
      <c r="GO2" t="e">
        <f>AND(Quices!#REF!,"AAAAAHr9fsQ=")</f>
        <v>#REF!</v>
      </c>
      <c r="GP2" t="e">
        <f>AND(Quices!#REF!,"AAAAAHr9fsU=")</f>
        <v>#REF!</v>
      </c>
      <c r="GQ2" t="e">
        <f>AND(Quices!#REF!,"AAAAAHr9fsY=")</f>
        <v>#REF!</v>
      </c>
      <c r="GR2" t="e">
        <f>AND(Quices!#REF!,"AAAAAHr9fsc=")</f>
        <v>#REF!</v>
      </c>
      <c r="GS2" t="e">
        <f>AND(Quices!#REF!,"AAAAAHr9fsg=")</f>
        <v>#REF!</v>
      </c>
      <c r="GT2" t="e">
        <f>AND(Quices!B1,"AAAAAHr9fsk=")</f>
        <v>#VALUE!</v>
      </c>
      <c r="GU2" t="e">
        <f>AND(Quices!C1,"AAAAAHr9fso=")</f>
        <v>#VALUE!</v>
      </c>
      <c r="GV2" t="e">
        <f>AND(Quices!D1,"AAAAAHr9fss=")</f>
        <v>#VALUE!</v>
      </c>
      <c r="GW2" t="e">
        <f>AND(Quices!E1,"AAAAAHr9fsw=")</f>
        <v>#VALUE!</v>
      </c>
      <c r="GX2" t="e">
        <f>AND(Quices!F1,"AAAAAHr9fs0=")</f>
        <v>#VALUE!</v>
      </c>
      <c r="GY2" t="e">
        <f>AND(Quices!#REF!,"AAAAAHr9fs4=")</f>
        <v>#REF!</v>
      </c>
      <c r="GZ2" t="e">
        <f>AND(Quices!G1,"AAAAAHr9fs8=")</f>
        <v>#VALUE!</v>
      </c>
      <c r="HA2" t="e">
        <f>IF(Quices!#REF!,"AAAAAHr9ftA=",0)</f>
        <v>#REF!</v>
      </c>
      <c r="HB2" t="e">
        <f>AND(Quices!A2,"AAAAAHr9ftE=")</f>
        <v>#VALUE!</v>
      </c>
      <c r="HC2" t="e">
        <f>AND(Quices!#REF!,"AAAAAHr9ftI=")</f>
        <v>#REF!</v>
      </c>
      <c r="HD2" t="e">
        <f>AND(Quices!#REF!,"AAAAAHr9ftM=")</f>
        <v>#REF!</v>
      </c>
      <c r="HE2" t="e">
        <f>AND(Quices!#REF!,"AAAAAHr9ftQ=")</f>
        <v>#REF!</v>
      </c>
      <c r="HF2" t="e">
        <f>AND(Quices!#REF!,"AAAAAHr9ftU=")</f>
        <v>#REF!</v>
      </c>
      <c r="HG2" t="e">
        <f>AND(Quices!#REF!,"AAAAAHr9ftY=")</f>
        <v>#REF!</v>
      </c>
      <c r="HH2" t="e">
        <f>AND(Quices!#REF!,"AAAAAHr9ftc=")</f>
        <v>#REF!</v>
      </c>
      <c r="HI2" t="e">
        <f>AND(Quices!#REF!,"AAAAAHr9ftg=")</f>
        <v>#REF!</v>
      </c>
      <c r="HJ2" t="e">
        <f>AND(Quices!B2,"AAAAAHr9ftk=")</f>
        <v>#VALUE!</v>
      </c>
      <c r="HK2" t="e">
        <f>AND(Quices!C2,"AAAAAHr9fto=")</f>
        <v>#VALUE!</v>
      </c>
      <c r="HL2" t="e">
        <f>AND(Quices!D2,"AAAAAHr9fts=")</f>
        <v>#VALUE!</v>
      </c>
      <c r="HM2" t="e">
        <f>AND(Quices!E2,"AAAAAHr9ftw=")</f>
        <v>#VALUE!</v>
      </c>
      <c r="HN2" t="e">
        <f>AND(Quices!F2,"AAAAAHr9ft0=")</f>
        <v>#VALUE!</v>
      </c>
      <c r="HO2" t="e">
        <f>AND(Quices!#REF!,"AAAAAHr9ft4=")</f>
        <v>#REF!</v>
      </c>
      <c r="HP2" t="e">
        <f>AND(Quices!G2,"AAAAAHr9ft8=")</f>
        <v>#VALUE!</v>
      </c>
      <c r="HQ2" t="e">
        <f>IF(Quices!#REF!,"AAAAAHr9fuA=",0)</f>
        <v>#REF!</v>
      </c>
      <c r="HR2" t="e">
        <f>AND(Quices!#REF!,"AAAAAHr9fuE=")</f>
        <v>#REF!</v>
      </c>
      <c r="HS2" t="e">
        <f>AND(Quices!#REF!,"AAAAAHr9fuI=")</f>
        <v>#REF!</v>
      </c>
      <c r="HT2" t="e">
        <f>AND(Quices!#REF!,"AAAAAHr9fuM=")</f>
        <v>#REF!</v>
      </c>
      <c r="HU2" t="e">
        <f>AND(Quices!#REF!,"AAAAAHr9fuQ=")</f>
        <v>#REF!</v>
      </c>
      <c r="HV2" t="e">
        <f>AND(Quices!#REF!,"AAAAAHr9fuU=")</f>
        <v>#REF!</v>
      </c>
      <c r="HW2" t="e">
        <f>AND(Quices!#REF!,"AAAAAHr9fuY=")</f>
        <v>#REF!</v>
      </c>
      <c r="HX2" t="e">
        <f>AND(Quices!#REF!,"AAAAAHr9fuc=")</f>
        <v>#REF!</v>
      </c>
      <c r="HY2" t="e">
        <f>AND(Quices!#REF!,"AAAAAHr9fug=")</f>
        <v>#REF!</v>
      </c>
      <c r="HZ2" t="e">
        <f>AND(Quices!#REF!,"AAAAAHr9fuk=")</f>
        <v>#REF!</v>
      </c>
      <c r="IA2" t="e">
        <f>AND(Quices!#REF!,"AAAAAHr9fuo=")</f>
        <v>#REF!</v>
      </c>
      <c r="IB2" t="e">
        <f>AND(Quices!#REF!,"AAAAAHr9fus=")</f>
        <v>#REF!</v>
      </c>
      <c r="IC2" t="e">
        <f>AND(Quices!#REF!,"AAAAAHr9fuw=")</f>
        <v>#REF!</v>
      </c>
      <c r="ID2" t="e">
        <f>AND(Quices!#REF!,"AAAAAHr9fu0=")</f>
        <v>#REF!</v>
      </c>
      <c r="IE2" t="e">
        <f>AND(Quices!#REF!,"AAAAAHr9fu4=")</f>
        <v>#REF!</v>
      </c>
      <c r="IF2" t="e">
        <f>AND(Quices!#REF!,"AAAAAHr9fu8=")</f>
        <v>#REF!</v>
      </c>
      <c r="IG2" t="e">
        <f>IF(Quices!#REF!,"AAAAAHr9fvA=",0)</f>
        <v>#REF!</v>
      </c>
      <c r="IH2" t="e">
        <f>AND(Quices!#REF!,"AAAAAHr9fvE=")</f>
        <v>#REF!</v>
      </c>
      <c r="II2" t="e">
        <f>AND(Quices!#REF!,"AAAAAHr9fvI=")</f>
        <v>#REF!</v>
      </c>
      <c r="IJ2" t="e">
        <f>AND(Quices!#REF!,"AAAAAHr9fvM=")</f>
        <v>#REF!</v>
      </c>
      <c r="IK2" t="e">
        <f>AND(Quices!#REF!,"AAAAAHr9fvQ=")</f>
        <v>#REF!</v>
      </c>
      <c r="IL2" t="e">
        <f>AND(Quices!#REF!,"AAAAAHr9fvU=")</f>
        <v>#REF!</v>
      </c>
      <c r="IM2" t="e">
        <f>AND(Quices!#REF!,"AAAAAHr9fvY=")</f>
        <v>#REF!</v>
      </c>
      <c r="IN2" t="e">
        <f>AND(Quices!#REF!,"AAAAAHr9fvc=")</f>
        <v>#REF!</v>
      </c>
      <c r="IO2" t="e">
        <f>AND(Quices!#REF!,"AAAAAHr9fvg=")</f>
        <v>#REF!</v>
      </c>
      <c r="IP2" t="e">
        <f>AND(Quices!#REF!,"AAAAAHr9fvk=")</f>
        <v>#REF!</v>
      </c>
      <c r="IQ2" t="e">
        <f>AND(Quices!#REF!,"AAAAAHr9fvo=")</f>
        <v>#REF!</v>
      </c>
      <c r="IR2" t="e">
        <f>AND(Quices!#REF!,"AAAAAHr9fvs=")</f>
        <v>#REF!</v>
      </c>
      <c r="IS2" t="e">
        <f>AND(Quices!#REF!,"AAAAAHr9fvw=")</f>
        <v>#REF!</v>
      </c>
      <c r="IT2" t="e">
        <f>AND(Quices!#REF!,"AAAAAHr9fv0=")</f>
        <v>#REF!</v>
      </c>
      <c r="IU2" t="e">
        <f>AND(Quices!#REF!,"AAAAAHr9fv4=")</f>
        <v>#REF!</v>
      </c>
      <c r="IV2" t="e">
        <f>AND(Quices!#REF!,"AAAAAHr9fv8=")</f>
        <v>#REF!</v>
      </c>
    </row>
    <row r="3" spans="1:256" x14ac:dyDescent="0.35">
      <c r="A3" t="e">
        <f>IF(Quices!#REF!,"AAAAAE+vfgA=",0)</f>
        <v>#REF!</v>
      </c>
      <c r="B3" t="e">
        <f>AND(Quices!#REF!,"AAAAAE+vfgE=")</f>
        <v>#REF!</v>
      </c>
      <c r="C3" t="e">
        <f>AND(Quices!#REF!,"AAAAAE+vfgI=")</f>
        <v>#REF!</v>
      </c>
      <c r="D3" t="e">
        <f>AND(Quices!#REF!,"AAAAAE+vfgM=")</f>
        <v>#REF!</v>
      </c>
      <c r="E3" t="e">
        <f>AND(Quices!#REF!,"AAAAAE+vfgQ=")</f>
        <v>#REF!</v>
      </c>
      <c r="F3" t="e">
        <f>AND(Quices!#REF!,"AAAAAE+vfgU=")</f>
        <v>#REF!</v>
      </c>
      <c r="G3" t="e">
        <f>AND(Quices!#REF!,"AAAAAE+vfgY=")</f>
        <v>#REF!</v>
      </c>
      <c r="H3" t="e">
        <f>AND(Quices!#REF!,"AAAAAE+vfgc=")</f>
        <v>#REF!</v>
      </c>
      <c r="I3" t="e">
        <f>AND(Quices!#REF!,"AAAAAE+vfgg=")</f>
        <v>#REF!</v>
      </c>
      <c r="J3" t="e">
        <f>AND(Quices!#REF!,"AAAAAE+vfgk=")</f>
        <v>#REF!</v>
      </c>
      <c r="K3" t="e">
        <f>AND(Quices!#REF!,"AAAAAE+vfgo=")</f>
        <v>#REF!</v>
      </c>
      <c r="L3" t="e">
        <f>AND(Quices!#REF!,"AAAAAE+vfgs=")</f>
        <v>#REF!</v>
      </c>
      <c r="M3" t="e">
        <f>AND(Quices!#REF!,"AAAAAE+vfgw=")</f>
        <v>#REF!</v>
      </c>
      <c r="N3" t="e">
        <f>AND(Quices!#REF!,"AAAAAE+vfg0=")</f>
        <v>#REF!</v>
      </c>
      <c r="O3" t="e">
        <f>AND(Quices!#REF!,"AAAAAE+vfg4=")</f>
        <v>#REF!</v>
      </c>
      <c r="P3" t="e">
        <f>AND(Quices!#REF!,"AAAAAE+vfg8=")</f>
        <v>#REF!</v>
      </c>
      <c r="Q3" t="e">
        <f>IF(Quices!#REF!,"AAAAAE+vfhA=",0)</f>
        <v>#REF!</v>
      </c>
      <c r="R3" t="e">
        <f>AND(Quices!A3,"AAAAAE+vfhE=")</f>
        <v>#VALUE!</v>
      </c>
      <c r="S3" t="e">
        <f>AND(Quices!#REF!,"AAAAAE+vfhI=")</f>
        <v>#REF!</v>
      </c>
      <c r="T3" t="e">
        <f>AND(Quices!#REF!,"AAAAAE+vfhM=")</f>
        <v>#REF!</v>
      </c>
      <c r="U3" t="e">
        <f>AND(Quices!#REF!,"AAAAAE+vfhQ=")</f>
        <v>#REF!</v>
      </c>
      <c r="V3" t="e">
        <f>AND(Quices!#REF!,"AAAAAE+vfhU=")</f>
        <v>#REF!</v>
      </c>
      <c r="W3" t="e">
        <f>AND(Quices!#REF!,"AAAAAE+vfhY=")</f>
        <v>#REF!</v>
      </c>
      <c r="X3" t="e">
        <f>AND(Quices!#REF!,"AAAAAE+vfhc=")</f>
        <v>#REF!</v>
      </c>
      <c r="Y3" t="e">
        <f>AND(Quices!#REF!,"AAAAAE+vfhg=")</f>
        <v>#REF!</v>
      </c>
      <c r="Z3" t="e">
        <f>AND(Quices!B3,"AAAAAE+vfhk=")</f>
        <v>#VALUE!</v>
      </c>
      <c r="AA3" t="e">
        <f>AND(Quices!C3,"AAAAAE+vfho=")</f>
        <v>#VALUE!</v>
      </c>
      <c r="AB3" t="e">
        <f>AND(Quices!D3,"AAAAAE+vfhs=")</f>
        <v>#VALUE!</v>
      </c>
      <c r="AC3" t="e">
        <f>AND(Quices!E3,"AAAAAE+vfhw=")</f>
        <v>#VALUE!</v>
      </c>
      <c r="AD3" t="e">
        <f>AND(Quices!F3,"AAAAAE+vfh0=")</f>
        <v>#VALUE!</v>
      </c>
      <c r="AE3" t="e">
        <f>AND(Quices!#REF!,"AAAAAE+vfh4=")</f>
        <v>#REF!</v>
      </c>
      <c r="AF3" t="e">
        <f>AND(Quices!G3,"AAAAAE+vfh8=")</f>
        <v>#VALUE!</v>
      </c>
      <c r="AG3" t="e">
        <f>IF(Quices!#REF!,"AAAAAE+vfiA=",0)</f>
        <v>#REF!</v>
      </c>
      <c r="AH3" t="e">
        <f>AND(Quices!A4,"AAAAAE+vfiE=")</f>
        <v>#VALUE!</v>
      </c>
      <c r="AI3" t="e">
        <f>AND(Quices!#REF!,"AAAAAE+vfiI=")</f>
        <v>#REF!</v>
      </c>
      <c r="AJ3" t="e">
        <f>AND(Quices!#REF!,"AAAAAE+vfiM=")</f>
        <v>#REF!</v>
      </c>
      <c r="AK3" t="e">
        <f>AND(Quices!#REF!,"AAAAAE+vfiQ=")</f>
        <v>#REF!</v>
      </c>
      <c r="AL3" t="e">
        <f>AND(Quices!#REF!,"AAAAAE+vfiU=")</f>
        <v>#REF!</v>
      </c>
      <c r="AM3" t="e">
        <f>AND(Quices!#REF!,"AAAAAE+vfiY=")</f>
        <v>#REF!</v>
      </c>
      <c r="AN3" t="e">
        <f>AND(Quices!#REF!,"AAAAAE+vfic=")</f>
        <v>#REF!</v>
      </c>
      <c r="AO3" t="e">
        <f>AND(Quices!#REF!,"AAAAAE+vfig=")</f>
        <v>#REF!</v>
      </c>
      <c r="AP3" t="e">
        <f>AND(Quices!B4,"AAAAAE+vfik=")</f>
        <v>#VALUE!</v>
      </c>
      <c r="AQ3" t="e">
        <f>AND(Quices!C4,"AAAAAE+vfio=")</f>
        <v>#VALUE!</v>
      </c>
      <c r="AR3" t="e">
        <f>AND(Quices!D4,"AAAAAE+vfis=")</f>
        <v>#VALUE!</v>
      </c>
      <c r="AS3" t="e">
        <f>AND(Quices!E4,"AAAAAE+vfiw=")</f>
        <v>#VALUE!</v>
      </c>
      <c r="AT3" t="e">
        <f>AND(Quices!F4,"AAAAAE+vfi0=")</f>
        <v>#VALUE!</v>
      </c>
      <c r="AU3" t="e">
        <f>AND(Quices!#REF!,"AAAAAE+vfi4=")</f>
        <v>#REF!</v>
      </c>
      <c r="AV3" t="e">
        <f>AND(Quices!G4,"AAAAAE+vfi8=")</f>
        <v>#VALUE!</v>
      </c>
      <c r="AW3" t="e">
        <f>IF(Quices!#REF!,"AAAAAE+vfjA=",0)</f>
        <v>#REF!</v>
      </c>
      <c r="AX3" t="e">
        <f>AND(Quices!A5,"AAAAAE+vfjE=")</f>
        <v>#VALUE!</v>
      </c>
      <c r="AY3" t="e">
        <f>AND(Quices!#REF!,"AAAAAE+vfjI=")</f>
        <v>#REF!</v>
      </c>
      <c r="AZ3" t="e">
        <f>AND(Quices!#REF!,"AAAAAE+vfjM=")</f>
        <v>#REF!</v>
      </c>
      <c r="BA3" t="e">
        <f>AND(Quices!#REF!,"AAAAAE+vfjQ=")</f>
        <v>#REF!</v>
      </c>
      <c r="BB3" t="e">
        <f>AND(Quices!#REF!,"AAAAAE+vfjU=")</f>
        <v>#REF!</v>
      </c>
      <c r="BC3" t="e">
        <f>AND(Quices!#REF!,"AAAAAE+vfjY=")</f>
        <v>#REF!</v>
      </c>
      <c r="BD3" t="e">
        <f>AND(Quices!#REF!,"AAAAAE+vfjc=")</f>
        <v>#REF!</v>
      </c>
      <c r="BE3" t="e">
        <f>AND(Quices!#REF!,"AAAAAE+vfjg=")</f>
        <v>#REF!</v>
      </c>
      <c r="BF3" t="e">
        <f>AND(Quices!B5,"AAAAAE+vfjk=")</f>
        <v>#VALUE!</v>
      </c>
      <c r="BG3" t="e">
        <f>AND(Quices!C5,"AAAAAE+vfjo=")</f>
        <v>#VALUE!</v>
      </c>
      <c r="BH3" t="e">
        <f>AND(Quices!D5,"AAAAAE+vfjs=")</f>
        <v>#VALUE!</v>
      </c>
      <c r="BI3" t="e">
        <f>AND(Quices!E5,"AAAAAE+vfjw=")</f>
        <v>#VALUE!</v>
      </c>
      <c r="BJ3" t="e">
        <f>AND(Quices!F5,"AAAAAE+vfj0=")</f>
        <v>#VALUE!</v>
      </c>
      <c r="BK3" t="e">
        <f>AND(Quices!#REF!,"AAAAAE+vfj4=")</f>
        <v>#REF!</v>
      </c>
      <c r="BL3" t="e">
        <f>AND(Quices!G5,"AAAAAE+vfj8=")</f>
        <v>#VALUE!</v>
      </c>
      <c r="BM3" t="e">
        <f>IF(Quices!#REF!,"AAAAAE+vfkA=",0)</f>
        <v>#REF!</v>
      </c>
      <c r="BN3" t="e">
        <f>AND(Quices!A6,"AAAAAE+vfkE=")</f>
        <v>#VALUE!</v>
      </c>
      <c r="BO3" t="e">
        <f>AND(Quices!#REF!,"AAAAAE+vfkI=")</f>
        <v>#REF!</v>
      </c>
      <c r="BP3" t="e">
        <f>AND(Quices!#REF!,"AAAAAE+vfkM=")</f>
        <v>#REF!</v>
      </c>
      <c r="BQ3" t="e">
        <f>AND(Quices!#REF!,"AAAAAE+vfkQ=")</f>
        <v>#REF!</v>
      </c>
      <c r="BR3" t="e">
        <f>AND(Quices!#REF!,"AAAAAE+vfkU=")</f>
        <v>#REF!</v>
      </c>
      <c r="BS3" t="e">
        <f>AND(Quices!#REF!,"AAAAAE+vfkY=")</f>
        <v>#REF!</v>
      </c>
      <c r="BT3" t="e">
        <f>AND(Quices!#REF!,"AAAAAE+vfkc=")</f>
        <v>#REF!</v>
      </c>
      <c r="BU3" t="e">
        <f>AND(Quices!#REF!,"AAAAAE+vfkg=")</f>
        <v>#REF!</v>
      </c>
      <c r="BV3" t="e">
        <f>AND(Quices!B6,"AAAAAE+vfkk=")</f>
        <v>#VALUE!</v>
      </c>
      <c r="BW3" t="e">
        <f>AND(Quices!C6,"AAAAAE+vfko=")</f>
        <v>#VALUE!</v>
      </c>
      <c r="BX3" t="e">
        <f>AND(Quices!D6,"AAAAAE+vfks=")</f>
        <v>#VALUE!</v>
      </c>
      <c r="BY3" t="e">
        <f>AND(Quices!E6,"AAAAAE+vfkw=")</f>
        <v>#VALUE!</v>
      </c>
      <c r="BZ3" t="e">
        <f>AND(Quices!F6,"AAAAAE+vfk0=")</f>
        <v>#VALUE!</v>
      </c>
      <c r="CA3" t="e">
        <f>AND(Quices!#REF!,"AAAAAE+vfk4=")</f>
        <v>#REF!</v>
      </c>
      <c r="CB3" t="e">
        <f>AND(Quices!G6,"AAAAAE+vfk8=")</f>
        <v>#VALUE!</v>
      </c>
      <c r="CC3" t="e">
        <f>IF(Quices!#REF!,"AAAAAE+vflA=",0)</f>
        <v>#REF!</v>
      </c>
      <c r="CD3" t="e">
        <f>AND(Quices!#REF!,"AAAAAE+vflE=")</f>
        <v>#REF!</v>
      </c>
      <c r="CE3" t="e">
        <f>AND(Quices!#REF!,"AAAAAE+vflI=")</f>
        <v>#REF!</v>
      </c>
      <c r="CF3" t="e">
        <f>AND(Quices!#REF!,"AAAAAE+vflM=")</f>
        <v>#REF!</v>
      </c>
      <c r="CG3" t="e">
        <f>AND(Quices!#REF!,"AAAAAE+vflQ=")</f>
        <v>#REF!</v>
      </c>
      <c r="CH3" t="e">
        <f>AND(Quices!#REF!,"AAAAAE+vflU=")</f>
        <v>#REF!</v>
      </c>
      <c r="CI3" t="e">
        <f>AND(Quices!#REF!,"AAAAAE+vflY=")</f>
        <v>#REF!</v>
      </c>
      <c r="CJ3" t="e">
        <f>AND(Quices!#REF!,"AAAAAE+vflc=")</f>
        <v>#REF!</v>
      </c>
      <c r="CK3" t="e">
        <f>AND(Quices!#REF!,"AAAAAE+vflg=")</f>
        <v>#REF!</v>
      </c>
      <c r="CL3" t="e">
        <f>AND(Quices!#REF!,"AAAAAE+vflk=")</f>
        <v>#REF!</v>
      </c>
      <c r="CM3" t="e">
        <f>AND(Quices!#REF!,"AAAAAE+vflo=")</f>
        <v>#REF!</v>
      </c>
      <c r="CN3" t="e">
        <f>AND(Quices!#REF!,"AAAAAE+vfls=")</f>
        <v>#REF!</v>
      </c>
      <c r="CO3" t="e">
        <f>AND(Quices!#REF!,"AAAAAE+vflw=")</f>
        <v>#REF!</v>
      </c>
      <c r="CP3" t="e">
        <f>AND(Quices!#REF!,"AAAAAE+vfl0=")</f>
        <v>#REF!</v>
      </c>
      <c r="CQ3" t="e">
        <f>AND(Quices!#REF!,"AAAAAE+vfl4=")</f>
        <v>#REF!</v>
      </c>
      <c r="CR3" t="e">
        <f>AND(Quices!#REF!,"AAAAAE+vfl8=")</f>
        <v>#REF!</v>
      </c>
      <c r="CS3" t="e">
        <f>IF(Quices!#REF!,"AAAAAE+vfmA=",0)</f>
        <v>#REF!</v>
      </c>
      <c r="CT3" t="e">
        <f>AND(Quices!A7,"AAAAAE+vfmE=")</f>
        <v>#VALUE!</v>
      </c>
      <c r="CU3" t="e">
        <f>AND(Quices!#REF!,"AAAAAE+vfmI=")</f>
        <v>#REF!</v>
      </c>
      <c r="CV3" t="e">
        <f>AND(Quices!#REF!,"AAAAAE+vfmM=")</f>
        <v>#REF!</v>
      </c>
      <c r="CW3" t="e">
        <f>AND(Quices!#REF!,"AAAAAE+vfmQ=")</f>
        <v>#REF!</v>
      </c>
      <c r="CX3" t="e">
        <f>AND(Quices!#REF!,"AAAAAE+vfmU=")</f>
        <v>#REF!</v>
      </c>
      <c r="CY3" t="e">
        <f>AND(Quices!#REF!,"AAAAAE+vfmY=")</f>
        <v>#REF!</v>
      </c>
      <c r="CZ3" t="e">
        <f>AND(Quices!#REF!,"AAAAAE+vfmc=")</f>
        <v>#REF!</v>
      </c>
      <c r="DA3" t="e">
        <f>AND(Quices!#REF!,"AAAAAE+vfmg=")</f>
        <v>#REF!</v>
      </c>
      <c r="DB3" t="e">
        <f>AND(Quices!B7,"AAAAAE+vfmk=")</f>
        <v>#VALUE!</v>
      </c>
      <c r="DC3" t="e">
        <f>AND(Quices!C7,"AAAAAE+vfmo=")</f>
        <v>#VALUE!</v>
      </c>
      <c r="DD3" t="e">
        <f>AND(Quices!D7,"AAAAAE+vfms=")</f>
        <v>#VALUE!</v>
      </c>
      <c r="DE3" t="e">
        <f>AND(Quices!E7,"AAAAAE+vfmw=")</f>
        <v>#VALUE!</v>
      </c>
      <c r="DF3" t="e">
        <f>AND(Quices!F7,"AAAAAE+vfm0=")</f>
        <v>#VALUE!</v>
      </c>
      <c r="DG3" t="e">
        <f>AND(Quices!#REF!,"AAAAAE+vfm4=")</f>
        <v>#REF!</v>
      </c>
      <c r="DH3" t="e">
        <f>AND(Quices!G7,"AAAAAE+vfm8=")</f>
        <v>#VALUE!</v>
      </c>
      <c r="DI3" t="e">
        <f>IF(Quices!#REF!,"AAAAAE+vfnA=",0)</f>
        <v>#REF!</v>
      </c>
      <c r="DJ3" t="e">
        <f>AND(Quices!#REF!,"AAAAAE+vfnE=")</f>
        <v>#REF!</v>
      </c>
      <c r="DK3" t="e">
        <f>AND(Quices!#REF!,"AAAAAE+vfnI=")</f>
        <v>#REF!</v>
      </c>
      <c r="DL3" t="e">
        <f>AND(Quices!#REF!,"AAAAAE+vfnM=")</f>
        <v>#REF!</v>
      </c>
      <c r="DM3" t="e">
        <f>AND(Quices!#REF!,"AAAAAE+vfnQ=")</f>
        <v>#REF!</v>
      </c>
      <c r="DN3" t="e">
        <f>AND(Quices!#REF!,"AAAAAE+vfnU=")</f>
        <v>#REF!</v>
      </c>
      <c r="DO3" t="e">
        <f>AND(Quices!#REF!,"AAAAAE+vfnY=")</f>
        <v>#REF!</v>
      </c>
      <c r="DP3" t="e">
        <f>AND(Quices!#REF!,"AAAAAE+vfnc=")</f>
        <v>#REF!</v>
      </c>
      <c r="DQ3" t="e">
        <f>AND(Quices!#REF!,"AAAAAE+vfng=")</f>
        <v>#REF!</v>
      </c>
      <c r="DR3" t="e">
        <f>AND(Quices!#REF!,"AAAAAE+vfnk=")</f>
        <v>#REF!</v>
      </c>
      <c r="DS3" t="e">
        <f>AND(Quices!#REF!,"AAAAAE+vfno=")</f>
        <v>#REF!</v>
      </c>
      <c r="DT3" t="e">
        <f>AND(Quices!#REF!,"AAAAAE+vfns=")</f>
        <v>#REF!</v>
      </c>
      <c r="DU3" t="e">
        <f>AND(Quices!#REF!,"AAAAAE+vfnw=")</f>
        <v>#REF!</v>
      </c>
      <c r="DV3" t="e">
        <f>AND(Quices!#REF!,"AAAAAE+vfn0=")</f>
        <v>#REF!</v>
      </c>
      <c r="DW3" t="e">
        <f>AND(Quices!#REF!,"AAAAAE+vfn4=")</f>
        <v>#REF!</v>
      </c>
      <c r="DX3" t="e">
        <f>AND(Quices!#REF!,"AAAAAE+vfn8=")</f>
        <v>#REF!</v>
      </c>
      <c r="DY3" t="e">
        <f>IF(Quices!#REF!,"AAAAAE+vfoA=",0)</f>
        <v>#REF!</v>
      </c>
      <c r="DZ3" t="e">
        <f>AND(Quices!A8,"AAAAAE+vfoE=")</f>
        <v>#VALUE!</v>
      </c>
      <c r="EA3" t="e">
        <f>AND(Quices!#REF!,"AAAAAE+vfoI=")</f>
        <v>#REF!</v>
      </c>
      <c r="EB3" t="e">
        <f>AND(Quices!#REF!,"AAAAAE+vfoM=")</f>
        <v>#REF!</v>
      </c>
      <c r="EC3" t="e">
        <f>AND(Quices!#REF!,"AAAAAE+vfoQ=")</f>
        <v>#REF!</v>
      </c>
      <c r="ED3" t="e">
        <f>AND(Quices!#REF!,"AAAAAE+vfoU=")</f>
        <v>#REF!</v>
      </c>
      <c r="EE3" t="e">
        <f>AND(Quices!#REF!,"AAAAAE+vfoY=")</f>
        <v>#REF!</v>
      </c>
      <c r="EF3" t="e">
        <f>AND(Quices!#REF!,"AAAAAE+vfoc=")</f>
        <v>#REF!</v>
      </c>
      <c r="EG3" t="e">
        <f>AND(Quices!#REF!,"AAAAAE+vfog=")</f>
        <v>#REF!</v>
      </c>
      <c r="EH3" t="e">
        <f>AND(Quices!B8,"AAAAAE+vfok=")</f>
        <v>#VALUE!</v>
      </c>
      <c r="EI3" t="e">
        <f>AND(Quices!C8,"AAAAAE+vfoo=")</f>
        <v>#VALUE!</v>
      </c>
      <c r="EJ3" t="e">
        <f>AND(Quices!D8,"AAAAAE+vfos=")</f>
        <v>#VALUE!</v>
      </c>
      <c r="EK3" t="e">
        <f>AND(Quices!E8,"AAAAAE+vfow=")</f>
        <v>#VALUE!</v>
      </c>
      <c r="EL3" t="e">
        <f>AND(Quices!F8,"AAAAAE+vfo0=")</f>
        <v>#VALUE!</v>
      </c>
      <c r="EM3" t="e">
        <f>AND(Quices!#REF!,"AAAAAE+vfo4=")</f>
        <v>#REF!</v>
      </c>
      <c r="EN3" t="e">
        <f>AND(Quices!G8,"AAAAAE+vfo8=")</f>
        <v>#VALUE!</v>
      </c>
      <c r="EO3" t="e">
        <f>IF(Quices!#REF!,"AAAAAE+vfpA=",0)</f>
        <v>#REF!</v>
      </c>
      <c r="EP3" t="e">
        <f>AND(Quices!A9,"AAAAAE+vfpE=")</f>
        <v>#VALUE!</v>
      </c>
      <c r="EQ3" t="e">
        <f>AND(Quices!#REF!,"AAAAAE+vfpI=")</f>
        <v>#REF!</v>
      </c>
      <c r="ER3" t="e">
        <f>AND(Quices!#REF!,"AAAAAE+vfpM=")</f>
        <v>#REF!</v>
      </c>
      <c r="ES3" t="e">
        <f>AND(Quices!#REF!,"AAAAAE+vfpQ=")</f>
        <v>#REF!</v>
      </c>
      <c r="ET3" t="e">
        <f>AND(Quices!#REF!,"AAAAAE+vfpU=")</f>
        <v>#REF!</v>
      </c>
      <c r="EU3" t="e">
        <f>AND(Quices!#REF!,"AAAAAE+vfpY=")</f>
        <v>#REF!</v>
      </c>
      <c r="EV3" t="e">
        <f>AND(Quices!#REF!,"AAAAAE+vfpc=")</f>
        <v>#REF!</v>
      </c>
      <c r="EW3" t="e">
        <f>AND(Quices!#REF!,"AAAAAE+vfpg=")</f>
        <v>#REF!</v>
      </c>
      <c r="EX3" t="e">
        <f>AND(Quices!B9,"AAAAAE+vfpk=")</f>
        <v>#VALUE!</v>
      </c>
      <c r="EY3" t="e">
        <f>AND(Quices!C9,"AAAAAE+vfpo=")</f>
        <v>#VALUE!</v>
      </c>
      <c r="EZ3" t="e">
        <f>AND(Quices!D9,"AAAAAE+vfps=")</f>
        <v>#VALUE!</v>
      </c>
      <c r="FA3" t="e">
        <f>AND(Quices!E9,"AAAAAE+vfpw=")</f>
        <v>#VALUE!</v>
      </c>
      <c r="FB3" t="e">
        <f>AND(Quices!F9,"AAAAAE+vfp0=")</f>
        <v>#VALUE!</v>
      </c>
      <c r="FC3" t="e">
        <f>AND(Quices!#REF!,"AAAAAE+vfp4=")</f>
        <v>#REF!</v>
      </c>
      <c r="FD3" t="e">
        <f>AND(Quices!G9,"AAAAAE+vfp8=")</f>
        <v>#VALUE!</v>
      </c>
      <c r="FE3" t="e">
        <f>IF(Quices!#REF!,"AAAAAE+vfqA=",0)</f>
        <v>#REF!</v>
      </c>
      <c r="FF3" t="e">
        <f>AND(Quices!A10,"AAAAAE+vfqE=")</f>
        <v>#VALUE!</v>
      </c>
      <c r="FG3" t="e">
        <f>AND(Quices!#REF!,"AAAAAE+vfqI=")</f>
        <v>#REF!</v>
      </c>
      <c r="FH3" t="e">
        <f>AND(Quices!#REF!,"AAAAAE+vfqM=")</f>
        <v>#REF!</v>
      </c>
      <c r="FI3" t="e">
        <f>AND(Quices!#REF!,"AAAAAE+vfqQ=")</f>
        <v>#REF!</v>
      </c>
      <c r="FJ3" t="e">
        <f>AND(Quices!#REF!,"AAAAAE+vfqU=")</f>
        <v>#REF!</v>
      </c>
      <c r="FK3" t="e">
        <f>AND(Quices!#REF!,"AAAAAE+vfqY=")</f>
        <v>#REF!</v>
      </c>
      <c r="FL3" t="e">
        <f>AND(Quices!#REF!,"AAAAAE+vfqc=")</f>
        <v>#REF!</v>
      </c>
      <c r="FM3" t="e">
        <f>AND(Quices!#REF!,"AAAAAE+vfqg=")</f>
        <v>#REF!</v>
      </c>
      <c r="FN3" t="e">
        <f>AND(Quices!B10,"AAAAAE+vfqk=")</f>
        <v>#VALUE!</v>
      </c>
      <c r="FO3" t="e">
        <f>AND(Quices!C10,"AAAAAE+vfqo=")</f>
        <v>#VALUE!</v>
      </c>
      <c r="FP3" t="e">
        <f>AND(Quices!D10,"AAAAAE+vfqs=")</f>
        <v>#VALUE!</v>
      </c>
      <c r="FQ3" t="e">
        <f>AND(Quices!E10,"AAAAAE+vfqw=")</f>
        <v>#VALUE!</v>
      </c>
      <c r="FR3" t="e">
        <f>AND(Quices!F10,"AAAAAE+vfq0=")</f>
        <v>#VALUE!</v>
      </c>
      <c r="FS3" t="e">
        <f>AND(Quices!#REF!,"AAAAAE+vfq4=")</f>
        <v>#REF!</v>
      </c>
      <c r="FT3" t="e">
        <f>AND(Quices!G10,"AAAAAE+vfq8=")</f>
        <v>#VALUE!</v>
      </c>
      <c r="FU3" t="e">
        <f>IF(Quices!#REF!,"AAAAAE+vfrA=",0)</f>
        <v>#REF!</v>
      </c>
      <c r="FV3" t="e">
        <f>AND(Quices!A11,"AAAAAE+vfrE=")</f>
        <v>#VALUE!</v>
      </c>
      <c r="FW3" t="e">
        <f>AND(Quices!#REF!,"AAAAAE+vfrI=")</f>
        <v>#REF!</v>
      </c>
      <c r="FX3" t="e">
        <f>AND(Quices!#REF!,"AAAAAE+vfrM=")</f>
        <v>#REF!</v>
      </c>
      <c r="FY3" t="e">
        <f>AND(Quices!#REF!,"AAAAAE+vfrQ=")</f>
        <v>#REF!</v>
      </c>
      <c r="FZ3" t="e">
        <f>AND(Quices!#REF!,"AAAAAE+vfrU=")</f>
        <v>#REF!</v>
      </c>
      <c r="GA3" t="e">
        <f>AND(Quices!#REF!,"AAAAAE+vfrY=")</f>
        <v>#REF!</v>
      </c>
      <c r="GB3" t="e">
        <f>AND(Quices!#REF!,"AAAAAE+vfrc=")</f>
        <v>#REF!</v>
      </c>
      <c r="GC3" t="e">
        <f>AND(Quices!#REF!,"AAAAAE+vfrg=")</f>
        <v>#REF!</v>
      </c>
      <c r="GD3" t="e">
        <f>AND(Quices!B11,"AAAAAE+vfrk=")</f>
        <v>#VALUE!</v>
      </c>
      <c r="GE3" t="e">
        <f>AND(Quices!C11,"AAAAAE+vfro=")</f>
        <v>#VALUE!</v>
      </c>
      <c r="GF3" t="e">
        <f>AND(Quices!D11,"AAAAAE+vfrs=")</f>
        <v>#VALUE!</v>
      </c>
      <c r="GG3" t="e">
        <f>AND(Quices!E11,"AAAAAE+vfrw=")</f>
        <v>#VALUE!</v>
      </c>
      <c r="GH3" t="e">
        <f>AND(Quices!F11,"AAAAAE+vfr0=")</f>
        <v>#VALUE!</v>
      </c>
      <c r="GI3" t="e">
        <f>AND(Quices!#REF!,"AAAAAE+vfr4=")</f>
        <v>#REF!</v>
      </c>
      <c r="GJ3" t="e">
        <f>AND(Quices!G11,"AAAAAE+vfr8=")</f>
        <v>#VALUE!</v>
      </c>
      <c r="GK3" t="e">
        <f>IF(Quices!#REF!,"AAAAAE+vfsA=",0)</f>
        <v>#REF!</v>
      </c>
      <c r="GL3" t="e">
        <f>AND(Quices!A12,"AAAAAE+vfsE=")</f>
        <v>#VALUE!</v>
      </c>
      <c r="GM3" t="e">
        <f>AND(Quices!#REF!,"AAAAAE+vfsI=")</f>
        <v>#REF!</v>
      </c>
      <c r="GN3" t="e">
        <f>AND(Quices!#REF!,"AAAAAE+vfsM=")</f>
        <v>#REF!</v>
      </c>
      <c r="GO3" t="e">
        <f>AND(Quices!#REF!,"AAAAAE+vfsQ=")</f>
        <v>#REF!</v>
      </c>
      <c r="GP3" t="e">
        <f>AND(Quices!#REF!,"AAAAAE+vfsU=")</f>
        <v>#REF!</v>
      </c>
      <c r="GQ3" t="e">
        <f>AND(Quices!#REF!,"AAAAAE+vfsY=")</f>
        <v>#REF!</v>
      </c>
      <c r="GR3" t="e">
        <f>AND(Quices!#REF!,"AAAAAE+vfsc=")</f>
        <v>#REF!</v>
      </c>
      <c r="GS3" t="e">
        <f>AND(Quices!#REF!,"AAAAAE+vfsg=")</f>
        <v>#REF!</v>
      </c>
      <c r="GT3" t="e">
        <f>AND(Quices!B12,"AAAAAE+vfsk=")</f>
        <v>#VALUE!</v>
      </c>
      <c r="GU3" t="e">
        <f>AND(Quices!C12,"AAAAAE+vfso=")</f>
        <v>#VALUE!</v>
      </c>
      <c r="GV3" t="e">
        <f>AND(Quices!D12,"AAAAAE+vfss=")</f>
        <v>#VALUE!</v>
      </c>
      <c r="GW3" t="e">
        <f>AND(Quices!E12,"AAAAAE+vfsw=")</f>
        <v>#VALUE!</v>
      </c>
      <c r="GX3" t="e">
        <f>AND(Quices!F12,"AAAAAE+vfs0=")</f>
        <v>#VALUE!</v>
      </c>
      <c r="GY3" t="e">
        <f>AND(Quices!#REF!,"AAAAAE+vfs4=")</f>
        <v>#REF!</v>
      </c>
      <c r="GZ3" t="e">
        <f>AND(Quices!G12,"AAAAAE+vfs8=")</f>
        <v>#VALUE!</v>
      </c>
      <c r="HA3" t="e">
        <f>IF(Quices!#REF!,"AAAAAE+vftA=",0)</f>
        <v>#REF!</v>
      </c>
      <c r="HB3" t="e">
        <f>AND(Quices!A13,"AAAAAE+vftE=")</f>
        <v>#VALUE!</v>
      </c>
      <c r="HC3" t="e">
        <f>AND(Quices!#REF!,"AAAAAE+vftI=")</f>
        <v>#REF!</v>
      </c>
      <c r="HD3" t="e">
        <f>AND(Quices!#REF!,"AAAAAE+vftM=")</f>
        <v>#REF!</v>
      </c>
      <c r="HE3" t="e">
        <f>AND(Quices!#REF!,"AAAAAE+vftQ=")</f>
        <v>#REF!</v>
      </c>
      <c r="HF3" t="e">
        <f>AND(Quices!#REF!,"AAAAAE+vftU=")</f>
        <v>#REF!</v>
      </c>
      <c r="HG3" t="e">
        <f>AND(Quices!#REF!,"AAAAAE+vftY=")</f>
        <v>#REF!</v>
      </c>
      <c r="HH3" t="e">
        <f>AND(Quices!#REF!,"AAAAAE+vftc=")</f>
        <v>#REF!</v>
      </c>
      <c r="HI3" t="e">
        <f>AND(Quices!#REF!,"AAAAAE+vftg=")</f>
        <v>#REF!</v>
      </c>
      <c r="HJ3" t="e">
        <f>AND(Quices!B13,"AAAAAE+vftk=")</f>
        <v>#VALUE!</v>
      </c>
      <c r="HK3" t="e">
        <f>AND(Quices!C13,"AAAAAE+vfto=")</f>
        <v>#VALUE!</v>
      </c>
      <c r="HL3" t="e">
        <f>AND(Quices!D13,"AAAAAE+vfts=")</f>
        <v>#VALUE!</v>
      </c>
      <c r="HM3" t="e">
        <f>AND(Quices!E13,"AAAAAE+vftw=")</f>
        <v>#VALUE!</v>
      </c>
      <c r="HN3" t="e">
        <f>AND(Quices!F13,"AAAAAE+vft0=")</f>
        <v>#VALUE!</v>
      </c>
      <c r="HO3" t="e">
        <f>AND(Quices!#REF!,"AAAAAE+vft4=")</f>
        <v>#REF!</v>
      </c>
      <c r="HP3" t="e">
        <f>AND(Quices!G13,"AAAAAE+vft8=")</f>
        <v>#VALUE!</v>
      </c>
      <c r="HQ3" t="e">
        <f>IF(Quices!#REF!,"AAAAAE+vfuA=",0)</f>
        <v>#REF!</v>
      </c>
      <c r="HR3" t="e">
        <f>AND(Quices!#REF!,"AAAAAE+vfuE=")</f>
        <v>#REF!</v>
      </c>
      <c r="HS3" t="e">
        <f>AND(Quices!#REF!,"AAAAAE+vfuI=")</f>
        <v>#REF!</v>
      </c>
      <c r="HT3" t="e">
        <f>AND(Quices!#REF!,"AAAAAE+vfuM=")</f>
        <v>#REF!</v>
      </c>
      <c r="HU3" t="e">
        <f>AND(Quices!#REF!,"AAAAAE+vfuQ=")</f>
        <v>#REF!</v>
      </c>
      <c r="HV3" t="e">
        <f>AND(Quices!#REF!,"AAAAAE+vfuU=")</f>
        <v>#REF!</v>
      </c>
      <c r="HW3" t="e">
        <f>AND(Quices!#REF!,"AAAAAE+vfuY=")</f>
        <v>#REF!</v>
      </c>
      <c r="HX3" t="e">
        <f>AND(Quices!#REF!,"AAAAAE+vfuc=")</f>
        <v>#REF!</v>
      </c>
      <c r="HY3" t="e">
        <f>AND(Quices!#REF!,"AAAAAE+vfug=")</f>
        <v>#REF!</v>
      </c>
      <c r="HZ3" t="e">
        <f>AND(Quices!#REF!,"AAAAAE+vfuk=")</f>
        <v>#REF!</v>
      </c>
      <c r="IA3" t="e">
        <f>AND(Quices!#REF!,"AAAAAE+vfuo=")</f>
        <v>#REF!</v>
      </c>
      <c r="IB3" t="e">
        <f>AND(Quices!#REF!,"AAAAAE+vfus=")</f>
        <v>#REF!</v>
      </c>
      <c r="IC3" t="e">
        <f>AND(Quices!#REF!,"AAAAAE+vfuw=")</f>
        <v>#REF!</v>
      </c>
      <c r="ID3" t="e">
        <f>AND(Quices!#REF!,"AAAAAE+vfu0=")</f>
        <v>#REF!</v>
      </c>
      <c r="IE3" t="e">
        <f>AND(Quices!#REF!,"AAAAAE+vfu4=")</f>
        <v>#REF!</v>
      </c>
      <c r="IF3" t="e">
        <f>AND(Quices!#REF!,"AAAAAE+vfu8=")</f>
        <v>#REF!</v>
      </c>
      <c r="IG3" t="e">
        <f>IF(Quices!#REF!,"AAAAAE+vfvA=",0)</f>
        <v>#REF!</v>
      </c>
      <c r="IH3" t="e">
        <f>AND(Quices!#REF!,"AAAAAE+vfvE=")</f>
        <v>#REF!</v>
      </c>
      <c r="II3" t="e">
        <f>AND(Quices!#REF!,"AAAAAE+vfvI=")</f>
        <v>#REF!</v>
      </c>
      <c r="IJ3" t="e">
        <f>AND(Quices!#REF!,"AAAAAE+vfvM=")</f>
        <v>#REF!</v>
      </c>
      <c r="IK3" t="e">
        <f>AND(Quices!#REF!,"AAAAAE+vfvQ=")</f>
        <v>#REF!</v>
      </c>
      <c r="IL3" t="e">
        <f>AND(Quices!#REF!,"AAAAAE+vfvU=")</f>
        <v>#REF!</v>
      </c>
      <c r="IM3" t="e">
        <f>AND(Quices!#REF!,"AAAAAE+vfvY=")</f>
        <v>#REF!</v>
      </c>
      <c r="IN3" t="e">
        <f>AND(Quices!#REF!,"AAAAAE+vfvc=")</f>
        <v>#REF!</v>
      </c>
      <c r="IO3" t="e">
        <f>AND(Quices!#REF!,"AAAAAE+vfvg=")</f>
        <v>#REF!</v>
      </c>
      <c r="IP3" t="e">
        <f>AND(Quices!#REF!,"AAAAAE+vfvk=")</f>
        <v>#REF!</v>
      </c>
      <c r="IQ3" t="e">
        <f>AND(Quices!#REF!,"AAAAAE+vfvo=")</f>
        <v>#REF!</v>
      </c>
      <c r="IR3" t="e">
        <f>AND(Quices!#REF!,"AAAAAE+vfvs=")</f>
        <v>#REF!</v>
      </c>
      <c r="IS3" t="e">
        <f>AND(Quices!#REF!,"AAAAAE+vfvw=")</f>
        <v>#REF!</v>
      </c>
      <c r="IT3" t="e">
        <f>AND(Quices!#REF!,"AAAAAE+vfv0=")</f>
        <v>#REF!</v>
      </c>
      <c r="IU3" t="e">
        <f>AND(Quices!#REF!,"AAAAAE+vfv4=")</f>
        <v>#REF!</v>
      </c>
      <c r="IV3" t="e">
        <f>AND(Quices!#REF!,"AAAAAE+vfv8=")</f>
        <v>#REF!</v>
      </c>
    </row>
    <row r="4" spans="1:256" x14ac:dyDescent="0.35">
      <c r="A4" t="e">
        <f>IF(Quices!#REF!,"AAAAABvA7wA=",0)</f>
        <v>#REF!</v>
      </c>
      <c r="B4" t="e">
        <f>AND(Quices!#REF!,"AAAAABvA7wE=")</f>
        <v>#REF!</v>
      </c>
      <c r="C4" t="e">
        <f>AND(Quices!#REF!,"AAAAABvA7wI=")</f>
        <v>#REF!</v>
      </c>
      <c r="D4" t="e">
        <f>AND(Quices!#REF!,"AAAAABvA7wM=")</f>
        <v>#REF!</v>
      </c>
      <c r="E4" t="e">
        <f>AND(Quices!#REF!,"AAAAABvA7wQ=")</f>
        <v>#REF!</v>
      </c>
      <c r="F4" t="e">
        <f>AND(Quices!#REF!,"AAAAABvA7wU=")</f>
        <v>#REF!</v>
      </c>
      <c r="G4" t="e">
        <f>AND(Quices!#REF!,"AAAAABvA7wY=")</f>
        <v>#REF!</v>
      </c>
      <c r="H4" t="e">
        <f>AND(Quices!#REF!,"AAAAABvA7wc=")</f>
        <v>#REF!</v>
      </c>
      <c r="I4" t="e">
        <f>AND(Quices!#REF!,"AAAAABvA7wg=")</f>
        <v>#REF!</v>
      </c>
      <c r="J4" t="e">
        <f>AND(Quices!#REF!,"AAAAABvA7wk=")</f>
        <v>#REF!</v>
      </c>
      <c r="K4" t="e">
        <f>AND(Quices!#REF!,"AAAAABvA7wo=")</f>
        <v>#REF!</v>
      </c>
      <c r="L4" t="e">
        <f>AND(Quices!#REF!,"AAAAABvA7ws=")</f>
        <v>#REF!</v>
      </c>
      <c r="M4" t="e">
        <f>AND(Quices!#REF!,"AAAAABvA7ww=")</f>
        <v>#REF!</v>
      </c>
      <c r="N4" t="e">
        <f>AND(Quices!#REF!,"AAAAABvA7w0=")</f>
        <v>#REF!</v>
      </c>
      <c r="O4" t="e">
        <f>AND(Quices!#REF!,"AAAAABvA7w4=")</f>
        <v>#REF!</v>
      </c>
      <c r="P4" t="e">
        <f>AND(Quices!#REF!,"AAAAABvA7w8=")</f>
        <v>#REF!</v>
      </c>
      <c r="Q4" t="e">
        <f>IF(Quices!#REF!,"AAAAABvA7xA=",0)</f>
        <v>#REF!</v>
      </c>
      <c r="R4" t="e">
        <f>AND(Quices!#REF!,"AAAAABvA7xE=")</f>
        <v>#REF!</v>
      </c>
      <c r="S4" t="e">
        <f>AND(Quices!#REF!,"AAAAABvA7xI=")</f>
        <v>#REF!</v>
      </c>
      <c r="T4" t="e">
        <f>AND(Quices!#REF!,"AAAAABvA7xM=")</f>
        <v>#REF!</v>
      </c>
      <c r="U4" t="e">
        <f>AND(Quices!#REF!,"AAAAABvA7xQ=")</f>
        <v>#REF!</v>
      </c>
      <c r="V4" t="e">
        <f>AND(Quices!#REF!,"AAAAABvA7xU=")</f>
        <v>#REF!</v>
      </c>
      <c r="W4" t="e">
        <f>AND(Quices!#REF!,"AAAAABvA7xY=")</f>
        <v>#REF!</v>
      </c>
      <c r="X4" t="e">
        <f>AND(Quices!#REF!,"AAAAABvA7xc=")</f>
        <v>#REF!</v>
      </c>
      <c r="Y4" t="e">
        <f>AND(Quices!#REF!,"AAAAABvA7xg=")</f>
        <v>#REF!</v>
      </c>
      <c r="Z4" t="e">
        <f>AND(Quices!#REF!,"AAAAABvA7xk=")</f>
        <v>#REF!</v>
      </c>
      <c r="AA4" t="e">
        <f>AND(Quices!#REF!,"AAAAABvA7xo=")</f>
        <v>#REF!</v>
      </c>
      <c r="AB4" t="e">
        <f>AND(Quices!#REF!,"AAAAABvA7xs=")</f>
        <v>#REF!</v>
      </c>
      <c r="AC4" t="e">
        <f>AND(Quices!#REF!,"AAAAABvA7xw=")</f>
        <v>#REF!</v>
      </c>
      <c r="AD4" t="e">
        <f>AND(Quices!#REF!,"AAAAABvA7x0=")</f>
        <v>#REF!</v>
      </c>
      <c r="AE4" t="e">
        <f>AND(Quices!#REF!,"AAAAABvA7x4=")</f>
        <v>#REF!</v>
      </c>
      <c r="AF4" t="e">
        <f>AND(Quices!#REF!,"AAAAABvA7x8=")</f>
        <v>#REF!</v>
      </c>
      <c r="AG4" t="e">
        <f>IF(Quices!#REF!,"AAAAABvA7yA=",0)</f>
        <v>#REF!</v>
      </c>
      <c r="AH4" t="e">
        <f>AND(Quices!#REF!,"AAAAABvA7yE=")</f>
        <v>#REF!</v>
      </c>
      <c r="AI4" t="e">
        <f>AND(Quices!#REF!,"AAAAABvA7yI=")</f>
        <v>#REF!</v>
      </c>
      <c r="AJ4" t="e">
        <f>AND(Quices!#REF!,"AAAAABvA7yM=")</f>
        <v>#REF!</v>
      </c>
      <c r="AK4" t="e">
        <f>AND(Quices!#REF!,"AAAAABvA7yQ=")</f>
        <v>#REF!</v>
      </c>
      <c r="AL4" t="e">
        <f>AND(Quices!#REF!,"AAAAABvA7yU=")</f>
        <v>#REF!</v>
      </c>
      <c r="AM4" t="e">
        <f>AND(Quices!#REF!,"AAAAABvA7yY=")</f>
        <v>#REF!</v>
      </c>
      <c r="AN4" t="e">
        <f>AND(Quices!#REF!,"AAAAABvA7yc=")</f>
        <v>#REF!</v>
      </c>
      <c r="AO4" t="e">
        <f>AND(Quices!#REF!,"AAAAABvA7yg=")</f>
        <v>#REF!</v>
      </c>
      <c r="AP4" t="e">
        <f>AND(Quices!#REF!,"AAAAABvA7yk=")</f>
        <v>#REF!</v>
      </c>
      <c r="AQ4" t="e">
        <f>AND(Quices!#REF!,"AAAAABvA7yo=")</f>
        <v>#REF!</v>
      </c>
      <c r="AR4" t="e">
        <f>AND(Quices!#REF!,"AAAAABvA7ys=")</f>
        <v>#REF!</v>
      </c>
      <c r="AS4" t="e">
        <f>AND(Quices!#REF!,"AAAAABvA7yw=")</f>
        <v>#REF!</v>
      </c>
      <c r="AT4" t="e">
        <f>AND(Quices!#REF!,"AAAAABvA7y0=")</f>
        <v>#REF!</v>
      </c>
      <c r="AU4" t="e">
        <f>AND(Quices!#REF!,"AAAAABvA7y4=")</f>
        <v>#REF!</v>
      </c>
      <c r="AV4" t="e">
        <f>AND(Quices!#REF!,"AAAAABvA7y8=")</f>
        <v>#REF!</v>
      </c>
      <c r="AW4" t="e">
        <f>IF(Quices!#REF!,"AAAAABvA7zA=",0)</f>
        <v>#REF!</v>
      </c>
      <c r="AX4" t="e">
        <f>AND(Quices!#REF!,"AAAAABvA7zE=")</f>
        <v>#REF!</v>
      </c>
      <c r="AY4" t="e">
        <f>AND(Quices!#REF!,"AAAAABvA7zI=")</f>
        <v>#REF!</v>
      </c>
      <c r="AZ4" t="e">
        <f>AND(Quices!#REF!,"AAAAABvA7zM=")</f>
        <v>#REF!</v>
      </c>
      <c r="BA4" t="e">
        <f>AND(Quices!#REF!,"AAAAABvA7zQ=")</f>
        <v>#REF!</v>
      </c>
      <c r="BB4" t="e">
        <f>AND(Quices!#REF!,"AAAAABvA7zU=")</f>
        <v>#REF!</v>
      </c>
      <c r="BC4" t="e">
        <f>AND(Quices!#REF!,"AAAAABvA7zY=")</f>
        <v>#REF!</v>
      </c>
      <c r="BD4" t="e">
        <f>AND(Quices!#REF!,"AAAAABvA7zc=")</f>
        <v>#REF!</v>
      </c>
      <c r="BE4" t="e">
        <f>AND(Quices!#REF!,"AAAAABvA7zg=")</f>
        <v>#REF!</v>
      </c>
      <c r="BF4" t="e">
        <f>AND(Quices!#REF!,"AAAAABvA7zk=")</f>
        <v>#REF!</v>
      </c>
      <c r="BG4" t="e">
        <f>AND(Quices!#REF!,"AAAAABvA7zo=")</f>
        <v>#REF!</v>
      </c>
      <c r="BH4" t="e">
        <f>AND(Quices!#REF!,"AAAAABvA7zs=")</f>
        <v>#REF!</v>
      </c>
      <c r="BI4" t="e">
        <f>AND(Quices!#REF!,"AAAAABvA7zw=")</f>
        <v>#REF!</v>
      </c>
      <c r="BJ4" t="e">
        <f>AND(Quices!#REF!,"AAAAABvA7z0=")</f>
        <v>#REF!</v>
      </c>
      <c r="BK4" t="e">
        <f>AND(Quices!#REF!,"AAAAABvA7z4=")</f>
        <v>#REF!</v>
      </c>
      <c r="BL4" t="e">
        <f>AND(Quices!#REF!,"AAAAABvA7z8=")</f>
        <v>#REF!</v>
      </c>
      <c r="BM4" t="e">
        <f>IF(Quices!#REF!,"AAAAABvA70A=",0)</f>
        <v>#REF!</v>
      </c>
      <c r="BN4" t="e">
        <f>AND(Quices!#REF!,"AAAAABvA70E=")</f>
        <v>#REF!</v>
      </c>
      <c r="BO4" t="e">
        <f>AND(Quices!#REF!,"AAAAABvA70I=")</f>
        <v>#REF!</v>
      </c>
      <c r="BP4" t="e">
        <f>AND(Quices!#REF!,"AAAAABvA70M=")</f>
        <v>#REF!</v>
      </c>
      <c r="BQ4" t="e">
        <f>AND(Quices!#REF!,"AAAAABvA70Q=")</f>
        <v>#REF!</v>
      </c>
      <c r="BR4" t="e">
        <f>AND(Quices!#REF!,"AAAAABvA70U=")</f>
        <v>#REF!</v>
      </c>
      <c r="BS4" t="e">
        <f>AND(Quices!#REF!,"AAAAABvA70Y=")</f>
        <v>#REF!</v>
      </c>
      <c r="BT4" t="e">
        <f>AND(Quices!#REF!,"AAAAABvA70c=")</f>
        <v>#REF!</v>
      </c>
      <c r="BU4" t="e">
        <f>AND(Quices!#REF!,"AAAAABvA70g=")</f>
        <v>#REF!</v>
      </c>
      <c r="BV4" t="e">
        <f>AND(Quices!#REF!,"AAAAABvA70k=")</f>
        <v>#REF!</v>
      </c>
      <c r="BW4" t="e">
        <f>AND(Quices!#REF!,"AAAAABvA70o=")</f>
        <v>#REF!</v>
      </c>
      <c r="BX4" t="e">
        <f>AND(Quices!#REF!,"AAAAABvA70s=")</f>
        <v>#REF!</v>
      </c>
      <c r="BY4" t="e">
        <f>AND(Quices!#REF!,"AAAAABvA70w=")</f>
        <v>#REF!</v>
      </c>
      <c r="BZ4" t="e">
        <f>AND(Quices!#REF!,"AAAAABvA700=")</f>
        <v>#REF!</v>
      </c>
      <c r="CA4" t="e">
        <f>AND(Quices!#REF!,"AAAAABvA704=")</f>
        <v>#REF!</v>
      </c>
      <c r="CB4" t="e">
        <f>AND(Quices!#REF!,"AAAAABvA708=")</f>
        <v>#REF!</v>
      </c>
      <c r="CC4" t="e">
        <f>IF(Quices!#REF!,"AAAAABvA71A=",0)</f>
        <v>#REF!</v>
      </c>
      <c r="CD4" t="e">
        <f>AND(Quices!#REF!,"AAAAABvA71E=")</f>
        <v>#REF!</v>
      </c>
      <c r="CE4" t="e">
        <f>AND(Quices!#REF!,"AAAAABvA71I=")</f>
        <v>#REF!</v>
      </c>
      <c r="CF4" t="e">
        <f>AND(Quices!#REF!,"AAAAABvA71M=")</f>
        <v>#REF!</v>
      </c>
      <c r="CG4" t="e">
        <f>AND(Quices!#REF!,"AAAAABvA71Q=")</f>
        <v>#REF!</v>
      </c>
      <c r="CH4" t="e">
        <f>AND(Quices!#REF!,"AAAAABvA71U=")</f>
        <v>#REF!</v>
      </c>
      <c r="CI4" t="e">
        <f>AND(Quices!#REF!,"AAAAABvA71Y=")</f>
        <v>#REF!</v>
      </c>
      <c r="CJ4" t="e">
        <f>AND(Quices!#REF!,"AAAAABvA71c=")</f>
        <v>#REF!</v>
      </c>
      <c r="CK4" t="e">
        <f>AND(Quices!#REF!,"AAAAABvA71g=")</f>
        <v>#REF!</v>
      </c>
      <c r="CL4" t="e">
        <f>AND(Quices!#REF!,"AAAAABvA71k=")</f>
        <v>#REF!</v>
      </c>
      <c r="CM4" t="e">
        <f>AND(Quices!#REF!,"AAAAABvA71o=")</f>
        <v>#REF!</v>
      </c>
      <c r="CN4" t="e">
        <f>AND(Quices!#REF!,"AAAAABvA71s=")</f>
        <v>#REF!</v>
      </c>
      <c r="CO4" t="e">
        <f>AND(Quices!#REF!,"AAAAABvA71w=")</f>
        <v>#REF!</v>
      </c>
      <c r="CP4" t="e">
        <f>AND(Quices!#REF!,"AAAAABvA710=")</f>
        <v>#REF!</v>
      </c>
      <c r="CQ4" t="e">
        <f>AND(Quices!#REF!,"AAAAABvA714=")</f>
        <v>#REF!</v>
      </c>
      <c r="CR4" t="e">
        <f>AND(Quices!#REF!,"AAAAABvA718=")</f>
        <v>#REF!</v>
      </c>
      <c r="CS4" t="e">
        <f>IF(Quices!#REF!,"AAAAABvA72A=",0)</f>
        <v>#REF!</v>
      </c>
      <c r="CT4" t="e">
        <f>AND(Quices!#REF!,"AAAAABvA72E=")</f>
        <v>#REF!</v>
      </c>
      <c r="CU4" t="e">
        <f>AND(Quices!#REF!,"AAAAABvA72I=")</f>
        <v>#REF!</v>
      </c>
      <c r="CV4" t="e">
        <f>AND(Quices!#REF!,"AAAAABvA72M=")</f>
        <v>#REF!</v>
      </c>
      <c r="CW4" t="e">
        <f>AND(Quices!#REF!,"AAAAABvA72Q=")</f>
        <v>#REF!</v>
      </c>
      <c r="CX4" t="e">
        <f>AND(Quices!#REF!,"AAAAABvA72U=")</f>
        <v>#REF!</v>
      </c>
      <c r="CY4" t="e">
        <f>AND(Quices!#REF!,"AAAAABvA72Y=")</f>
        <v>#REF!</v>
      </c>
      <c r="CZ4" t="e">
        <f>AND(Quices!#REF!,"AAAAABvA72c=")</f>
        <v>#REF!</v>
      </c>
      <c r="DA4" t="e">
        <f>AND(Quices!#REF!,"AAAAABvA72g=")</f>
        <v>#REF!</v>
      </c>
      <c r="DB4" t="e">
        <f>AND(Quices!#REF!,"AAAAABvA72k=")</f>
        <v>#REF!</v>
      </c>
      <c r="DC4" t="e">
        <f>AND(Quices!#REF!,"AAAAABvA72o=")</f>
        <v>#REF!</v>
      </c>
      <c r="DD4" t="e">
        <f>AND(Quices!#REF!,"AAAAABvA72s=")</f>
        <v>#REF!</v>
      </c>
      <c r="DE4" t="e">
        <f>AND(Quices!#REF!,"AAAAABvA72w=")</f>
        <v>#REF!</v>
      </c>
      <c r="DF4" t="e">
        <f>AND(Quices!#REF!,"AAAAABvA720=")</f>
        <v>#REF!</v>
      </c>
      <c r="DG4" t="e">
        <f>AND(Quices!#REF!,"AAAAABvA724=")</f>
        <v>#REF!</v>
      </c>
      <c r="DH4" t="e">
        <f>AND(Quices!#REF!,"AAAAABvA728=")</f>
        <v>#REF!</v>
      </c>
      <c r="DI4">
        <f>IF(Quices!A:A,"AAAAABvA73A=",0)</f>
        <v>0</v>
      </c>
      <c r="DJ4" t="e">
        <f>IF(Quices!#REF!,"AAAAABvA73E=",0)</f>
        <v>#REF!</v>
      </c>
      <c r="DK4" t="e">
        <f>IF(Quices!#REF!,"AAAAABvA73I=",0)</f>
        <v>#REF!</v>
      </c>
      <c r="DL4" t="e">
        <f>IF(Quices!#REF!,"AAAAABvA73M=",0)</f>
        <v>#REF!</v>
      </c>
      <c r="DM4" t="e">
        <f>IF(Quices!#REF!,"AAAAABvA73Q=",0)</f>
        <v>#REF!</v>
      </c>
      <c r="DN4" t="e">
        <f>IF(Quices!#REF!,"AAAAABvA73U=",0)</f>
        <v>#REF!</v>
      </c>
      <c r="DO4" t="e">
        <f>IF(Quices!#REF!,"AAAAABvA73Y=",0)</f>
        <v>#REF!</v>
      </c>
      <c r="DP4" t="e">
        <f>IF(Quices!#REF!,"AAAAABvA73c=",0)</f>
        <v>#REF!</v>
      </c>
      <c r="DQ4">
        <f>IF(Quices!B:B,"AAAAABvA73g=",0)</f>
        <v>0</v>
      </c>
      <c r="DR4">
        <f>IF(Quices!C:C,"AAAAABvA73k=",0)</f>
        <v>0</v>
      </c>
      <c r="DS4">
        <f>IF(Quices!D:D,"AAAAABvA73o=",0)</f>
        <v>0</v>
      </c>
      <c r="DT4">
        <f>IF(Quices!E:E,"AAAAABvA73s=",0)</f>
        <v>0</v>
      </c>
      <c r="DU4">
        <f>IF(Quices!F:F,"AAAAABvA73w=",0)</f>
        <v>0</v>
      </c>
      <c r="DV4" t="e">
        <f>IF(Quices!#REF!,"AAAAABvA730=",0)</f>
        <v>#REF!</v>
      </c>
      <c r="DW4">
        <f>IF(Quices!G:G,"AAAAABvA734=",0)</f>
        <v>0</v>
      </c>
      <c r="DX4">
        <f>IF(Tareas!1:1,"AAAAABvA738=",0)</f>
        <v>0</v>
      </c>
      <c r="DY4" t="e">
        <f>AND(Tareas!A1,"AAAAABvA74A=")</f>
        <v>#VALUE!</v>
      </c>
      <c r="DZ4" t="e">
        <f>AND(Tareas!#REF!,"AAAAABvA74E=")</f>
        <v>#REF!</v>
      </c>
      <c r="EA4" t="e">
        <f>AND(Tareas!B1,"AAAAABvA74I=")</f>
        <v>#VALUE!</v>
      </c>
      <c r="EB4" t="e">
        <f>AND(Tareas!C1,"AAAAABvA74M=")</f>
        <v>#VALUE!</v>
      </c>
      <c r="EC4" t="e">
        <f>AND(Tareas!D1,"AAAAABvA74Q=")</f>
        <v>#VALUE!</v>
      </c>
      <c r="ED4" t="e">
        <f>AND(Tareas!E1,"AAAAABvA74U=")</f>
        <v>#VALUE!</v>
      </c>
      <c r="EE4" t="e">
        <f>AND(Tareas!F1,"AAAAABvA74Y=")</f>
        <v>#VALUE!</v>
      </c>
      <c r="EF4" t="e">
        <f>AND(Tareas!G1,"AAAAABvA74c=")</f>
        <v>#VALUE!</v>
      </c>
      <c r="EG4" t="e">
        <f>AND(Tareas!H1,"AAAAABvA74g=")</f>
        <v>#VALUE!</v>
      </c>
      <c r="EH4" t="e">
        <f>AND(Tareas!I1,"AAAAABvA74k=")</f>
        <v>#VALUE!</v>
      </c>
      <c r="EI4" t="e">
        <f>AND(Tareas!J1,"AAAAABvA74o=")</f>
        <v>#VALUE!</v>
      </c>
      <c r="EJ4" t="e">
        <f>AND(Tareas!K1,"AAAAABvA74s=")</f>
        <v>#VALUE!</v>
      </c>
      <c r="EK4" t="e">
        <f>AND(Tareas!L1,"AAAAABvA74w=")</f>
        <v>#VALUE!</v>
      </c>
      <c r="EL4" t="e">
        <f>AND(Tareas!M1,"AAAAABvA740=")</f>
        <v>#VALUE!</v>
      </c>
      <c r="EM4" t="e">
        <f>AND(Tareas!N1,"AAAAABvA744=")</f>
        <v>#VALUE!</v>
      </c>
      <c r="EN4" t="e">
        <f>AND(Tareas!O1,"AAAAABvA748=")</f>
        <v>#VALUE!</v>
      </c>
      <c r="EO4" t="e">
        <f>AND(Tareas!P1,"AAAAABvA75A=")</f>
        <v>#VALUE!</v>
      </c>
      <c r="EP4" t="e">
        <f>AND(Tareas!Q1,"AAAAABvA75E=")</f>
        <v>#VALUE!</v>
      </c>
      <c r="EQ4" t="e">
        <f>AND(Tareas!R1,"AAAAABvA75I=")</f>
        <v>#VALUE!</v>
      </c>
      <c r="ER4" t="e">
        <f>AND(Tareas!S1,"AAAAABvA75M=")</f>
        <v>#VALUE!</v>
      </c>
      <c r="ES4" t="e">
        <f>AND(Tareas!T1,"AAAAABvA75Q=")</f>
        <v>#VALUE!</v>
      </c>
      <c r="ET4">
        <f>IF(Tareas!2:2,"AAAAABvA75U=",0)</f>
        <v>0</v>
      </c>
      <c r="EU4" t="e">
        <f>AND(Tareas!A2,"AAAAABvA75Y=")</f>
        <v>#VALUE!</v>
      </c>
      <c r="EV4" t="e">
        <f>AND(Tareas!#REF!,"AAAAABvA75c=")</f>
        <v>#REF!</v>
      </c>
      <c r="EW4" t="e">
        <f>AND(Tareas!B2,"AAAAABvA75g=")</f>
        <v>#VALUE!</v>
      </c>
      <c r="EX4" t="e">
        <f>AND(Tareas!C2,"AAAAABvA75k=")</f>
        <v>#VALUE!</v>
      </c>
      <c r="EY4" t="e">
        <f>AND(Tareas!D2,"AAAAABvA75o=")</f>
        <v>#VALUE!</v>
      </c>
      <c r="EZ4" t="e">
        <f>AND(Tareas!E2,"AAAAABvA75s=")</f>
        <v>#VALUE!</v>
      </c>
      <c r="FA4" t="e">
        <f>AND(Tareas!F2,"AAAAABvA75w=")</f>
        <v>#VALUE!</v>
      </c>
      <c r="FB4" t="e">
        <f>AND(Tareas!G2,"AAAAABvA750=")</f>
        <v>#VALUE!</v>
      </c>
      <c r="FC4" t="e">
        <f>AND(Tareas!H2,"AAAAABvA754=")</f>
        <v>#VALUE!</v>
      </c>
      <c r="FD4" t="e">
        <f>AND(Tareas!I2,"AAAAABvA758=")</f>
        <v>#VALUE!</v>
      </c>
      <c r="FE4" t="e">
        <f>AND(Tareas!J2,"AAAAABvA76A=")</f>
        <v>#VALUE!</v>
      </c>
      <c r="FF4" t="e">
        <f>AND(Tareas!K2,"AAAAABvA76E=")</f>
        <v>#VALUE!</v>
      </c>
      <c r="FG4" t="e">
        <f>AND(Tareas!L2,"AAAAABvA76I=")</f>
        <v>#VALUE!</v>
      </c>
      <c r="FH4" t="e">
        <f>AND(Tareas!M2,"AAAAABvA76M=")</f>
        <v>#VALUE!</v>
      </c>
      <c r="FI4" t="e">
        <f>AND(Tareas!N2,"AAAAABvA76Q=")</f>
        <v>#VALUE!</v>
      </c>
      <c r="FJ4" t="e">
        <f>AND(Tareas!O2,"AAAAABvA76U=")</f>
        <v>#VALUE!</v>
      </c>
      <c r="FK4" t="e">
        <f>AND(Tareas!P2,"AAAAABvA76Y=")</f>
        <v>#VALUE!</v>
      </c>
      <c r="FL4" t="e">
        <f>AND(Tareas!Q2,"AAAAABvA76c=")</f>
        <v>#VALUE!</v>
      </c>
      <c r="FM4" t="e">
        <f>AND(Tareas!R2,"AAAAABvA76g=")</f>
        <v>#VALUE!</v>
      </c>
      <c r="FN4" t="e">
        <f>AND(Tareas!S2,"AAAAABvA76k=")</f>
        <v>#VALUE!</v>
      </c>
      <c r="FO4" t="e">
        <f>AND(Tareas!T2,"AAAAABvA76o=")</f>
        <v>#VALUE!</v>
      </c>
      <c r="FP4" t="e">
        <f>IF(Tareas!#REF!,"AAAAABvA76s=",0)</f>
        <v>#REF!</v>
      </c>
      <c r="FQ4" t="e">
        <f>AND(Tareas!#REF!,"AAAAABvA76w=")</f>
        <v>#REF!</v>
      </c>
      <c r="FR4" t="e">
        <f>AND(Tareas!#REF!,"AAAAABvA760=")</f>
        <v>#REF!</v>
      </c>
      <c r="FS4" t="e">
        <f>AND(Tareas!#REF!,"AAAAABvA764=")</f>
        <v>#REF!</v>
      </c>
      <c r="FT4" t="e">
        <f>AND(Tareas!#REF!,"AAAAABvA768=")</f>
        <v>#REF!</v>
      </c>
      <c r="FU4" t="e">
        <f>AND(Tareas!#REF!,"AAAAABvA77A=")</f>
        <v>#REF!</v>
      </c>
      <c r="FV4" t="e">
        <f>AND(Tareas!#REF!,"AAAAABvA77E=")</f>
        <v>#REF!</v>
      </c>
      <c r="FW4" t="e">
        <f>AND(Tareas!#REF!,"AAAAABvA77I=")</f>
        <v>#REF!</v>
      </c>
      <c r="FX4" t="e">
        <f>AND(Tareas!#REF!,"AAAAABvA77M=")</f>
        <v>#REF!</v>
      </c>
      <c r="FY4" t="e">
        <f>AND(Tareas!#REF!,"AAAAABvA77Q=")</f>
        <v>#REF!</v>
      </c>
      <c r="FZ4" t="e">
        <f>AND(Tareas!#REF!,"AAAAABvA77U=")</f>
        <v>#REF!</v>
      </c>
      <c r="GA4" t="e">
        <f>AND(Tareas!#REF!,"AAAAABvA77Y=")</f>
        <v>#REF!</v>
      </c>
      <c r="GB4" t="e">
        <f>AND(Tareas!#REF!,"AAAAABvA77c=")</f>
        <v>#REF!</v>
      </c>
      <c r="GC4" t="e">
        <f>AND(Tareas!#REF!,"AAAAABvA77g=")</f>
        <v>#REF!</v>
      </c>
      <c r="GD4" t="e">
        <f>AND(Tareas!#REF!,"AAAAABvA77k=")</f>
        <v>#REF!</v>
      </c>
      <c r="GE4" t="e">
        <f>AND(Tareas!#REF!,"AAAAABvA77o=")</f>
        <v>#REF!</v>
      </c>
      <c r="GF4" t="e">
        <f>AND(Tareas!#REF!,"AAAAABvA77s=")</f>
        <v>#REF!</v>
      </c>
      <c r="GG4" t="e">
        <f>AND(Tareas!#REF!,"AAAAABvA77w=")</f>
        <v>#REF!</v>
      </c>
      <c r="GH4" t="e">
        <f>AND(Tareas!#REF!,"AAAAABvA770=")</f>
        <v>#REF!</v>
      </c>
      <c r="GI4" t="e">
        <f>AND(Tareas!#REF!,"AAAAABvA774=")</f>
        <v>#REF!</v>
      </c>
      <c r="GJ4" t="e">
        <f>AND(Tareas!#REF!,"AAAAABvA778=")</f>
        <v>#REF!</v>
      </c>
      <c r="GK4" t="e">
        <f>AND(Tareas!#REF!,"AAAAABvA78A=")</f>
        <v>#REF!</v>
      </c>
      <c r="GL4" t="e">
        <f>IF(Tareas!#REF!,"AAAAABvA78E=",0)</f>
        <v>#REF!</v>
      </c>
      <c r="GM4" t="e">
        <f>AND(Tareas!#REF!,"AAAAABvA78I=")</f>
        <v>#REF!</v>
      </c>
      <c r="GN4" t="e">
        <f>AND(Tareas!#REF!,"AAAAABvA78M=")</f>
        <v>#REF!</v>
      </c>
      <c r="GO4" t="e">
        <f>AND(Tareas!#REF!,"AAAAABvA78Q=")</f>
        <v>#REF!</v>
      </c>
      <c r="GP4" t="e">
        <f>AND(Tareas!#REF!,"AAAAABvA78U=")</f>
        <v>#REF!</v>
      </c>
      <c r="GQ4" t="e">
        <f>AND(Tareas!#REF!,"AAAAABvA78Y=")</f>
        <v>#REF!</v>
      </c>
      <c r="GR4" t="e">
        <f>AND(Tareas!#REF!,"AAAAABvA78c=")</f>
        <v>#REF!</v>
      </c>
      <c r="GS4" t="e">
        <f>AND(Tareas!#REF!,"AAAAABvA78g=")</f>
        <v>#REF!</v>
      </c>
      <c r="GT4" t="e">
        <f>AND(Tareas!#REF!,"AAAAABvA78k=")</f>
        <v>#REF!</v>
      </c>
      <c r="GU4" t="e">
        <f>AND(Tareas!#REF!,"AAAAABvA78o=")</f>
        <v>#REF!</v>
      </c>
      <c r="GV4" t="e">
        <f>AND(Tareas!#REF!,"AAAAABvA78s=")</f>
        <v>#REF!</v>
      </c>
      <c r="GW4" t="e">
        <f>AND(Tareas!#REF!,"AAAAABvA78w=")</f>
        <v>#REF!</v>
      </c>
      <c r="GX4" t="e">
        <f>AND(Tareas!#REF!,"AAAAABvA780=")</f>
        <v>#REF!</v>
      </c>
      <c r="GY4" t="e">
        <f>AND(Tareas!#REF!,"AAAAABvA784=")</f>
        <v>#REF!</v>
      </c>
      <c r="GZ4" t="e">
        <f>AND(Tareas!#REF!,"AAAAABvA788=")</f>
        <v>#REF!</v>
      </c>
      <c r="HA4" t="e">
        <f>AND(Tareas!#REF!,"AAAAABvA79A=")</f>
        <v>#REF!</v>
      </c>
      <c r="HB4" t="e">
        <f>AND(Tareas!#REF!,"AAAAABvA79E=")</f>
        <v>#REF!</v>
      </c>
      <c r="HC4" t="e">
        <f>AND(Tareas!#REF!,"AAAAABvA79I=")</f>
        <v>#REF!</v>
      </c>
      <c r="HD4" t="e">
        <f>AND(Tareas!#REF!,"AAAAABvA79M=")</f>
        <v>#REF!</v>
      </c>
      <c r="HE4" t="e">
        <f>AND(Tareas!#REF!,"AAAAABvA79Q=")</f>
        <v>#REF!</v>
      </c>
      <c r="HF4" t="e">
        <f>AND(Tareas!#REF!,"AAAAABvA79U=")</f>
        <v>#REF!</v>
      </c>
      <c r="HG4" t="e">
        <f>AND(Tareas!#REF!,"AAAAABvA79Y=")</f>
        <v>#REF!</v>
      </c>
      <c r="HH4" t="e">
        <f>IF(Tareas!#REF!,"AAAAABvA79c=",0)</f>
        <v>#REF!</v>
      </c>
      <c r="HI4" t="e">
        <f>AND(Tareas!#REF!,"AAAAABvA79g=")</f>
        <v>#REF!</v>
      </c>
      <c r="HJ4" t="e">
        <f>AND(Tareas!#REF!,"AAAAABvA79k=")</f>
        <v>#REF!</v>
      </c>
      <c r="HK4" t="e">
        <f>AND(Tareas!#REF!,"AAAAABvA79o=")</f>
        <v>#REF!</v>
      </c>
      <c r="HL4" t="e">
        <f>AND(Tareas!#REF!,"AAAAABvA79s=")</f>
        <v>#REF!</v>
      </c>
      <c r="HM4" t="e">
        <f>AND(Tareas!#REF!,"AAAAABvA79w=")</f>
        <v>#REF!</v>
      </c>
      <c r="HN4" t="e">
        <f>AND(Tareas!#REF!,"AAAAABvA790=")</f>
        <v>#REF!</v>
      </c>
      <c r="HO4" t="e">
        <f>AND(Tareas!#REF!,"AAAAABvA794=")</f>
        <v>#REF!</v>
      </c>
      <c r="HP4" t="e">
        <f>AND(Tareas!#REF!,"AAAAABvA798=")</f>
        <v>#REF!</v>
      </c>
      <c r="HQ4" t="e">
        <f>AND(Tareas!#REF!,"AAAAABvA7+A=")</f>
        <v>#REF!</v>
      </c>
      <c r="HR4" t="e">
        <f>AND(Tareas!#REF!,"AAAAABvA7+E=")</f>
        <v>#REF!</v>
      </c>
      <c r="HS4" t="e">
        <f>AND(Tareas!#REF!,"AAAAABvA7+I=")</f>
        <v>#REF!</v>
      </c>
      <c r="HT4" t="e">
        <f>AND(Tareas!#REF!,"AAAAABvA7+M=")</f>
        <v>#REF!</v>
      </c>
      <c r="HU4" t="e">
        <f>AND(Tareas!#REF!,"AAAAABvA7+Q=")</f>
        <v>#REF!</v>
      </c>
      <c r="HV4" t="e">
        <f>AND(Tareas!#REF!,"AAAAABvA7+U=")</f>
        <v>#REF!</v>
      </c>
      <c r="HW4" t="e">
        <f>AND(Tareas!#REF!,"AAAAABvA7+Y=")</f>
        <v>#REF!</v>
      </c>
      <c r="HX4" t="e">
        <f>AND(Tareas!#REF!,"AAAAABvA7+c=")</f>
        <v>#REF!</v>
      </c>
      <c r="HY4" t="e">
        <f>AND(Tareas!#REF!,"AAAAABvA7+g=")</f>
        <v>#REF!</v>
      </c>
      <c r="HZ4" t="e">
        <f>AND(Tareas!#REF!,"AAAAABvA7+k=")</f>
        <v>#REF!</v>
      </c>
      <c r="IA4" t="e">
        <f>AND(Tareas!#REF!,"AAAAABvA7+o=")</f>
        <v>#REF!</v>
      </c>
      <c r="IB4" t="e">
        <f>AND(Tareas!#REF!,"AAAAABvA7+s=")</f>
        <v>#REF!</v>
      </c>
      <c r="IC4" t="e">
        <f>AND(Tareas!#REF!,"AAAAABvA7+w=")</f>
        <v>#REF!</v>
      </c>
      <c r="ID4">
        <f>IF(Tareas!3:3,"AAAAABvA7+0=",0)</f>
        <v>0</v>
      </c>
      <c r="IE4" t="e">
        <f>AND(Tareas!A3,"AAAAABvA7+4=")</f>
        <v>#VALUE!</v>
      </c>
      <c r="IF4" t="e">
        <f>AND(Tareas!#REF!,"AAAAABvA7+8=")</f>
        <v>#REF!</v>
      </c>
      <c r="IG4" t="e">
        <f>AND(Tareas!B3,"AAAAABvA7/A=")</f>
        <v>#VALUE!</v>
      </c>
      <c r="IH4" t="e">
        <f>AND(Tareas!C3,"AAAAABvA7/E=")</f>
        <v>#VALUE!</v>
      </c>
      <c r="II4" t="e">
        <f>AND(Tareas!D3,"AAAAABvA7/I=")</f>
        <v>#VALUE!</v>
      </c>
      <c r="IJ4" t="e">
        <f>AND(Tareas!E3,"AAAAABvA7/M=")</f>
        <v>#VALUE!</v>
      </c>
      <c r="IK4" t="e">
        <f>AND(Tareas!F3,"AAAAABvA7/Q=")</f>
        <v>#VALUE!</v>
      </c>
      <c r="IL4" t="e">
        <f>AND(Tareas!G3,"AAAAABvA7/U=")</f>
        <v>#VALUE!</v>
      </c>
      <c r="IM4" t="e">
        <f>AND(Tareas!H3,"AAAAABvA7/Y=")</f>
        <v>#VALUE!</v>
      </c>
      <c r="IN4" t="e">
        <f>AND(Tareas!I3,"AAAAABvA7/c=")</f>
        <v>#VALUE!</v>
      </c>
      <c r="IO4" t="e">
        <f>AND(Tareas!J3,"AAAAABvA7/g=")</f>
        <v>#VALUE!</v>
      </c>
      <c r="IP4" t="e">
        <f>AND(Tareas!K3,"AAAAABvA7/k=")</f>
        <v>#VALUE!</v>
      </c>
      <c r="IQ4" t="e">
        <f>AND(Tareas!L3,"AAAAABvA7/o=")</f>
        <v>#VALUE!</v>
      </c>
      <c r="IR4" t="e">
        <f>AND(Tareas!M3,"AAAAABvA7/s=")</f>
        <v>#VALUE!</v>
      </c>
      <c r="IS4" t="e">
        <f>AND(Tareas!N3,"AAAAABvA7/w=")</f>
        <v>#VALUE!</v>
      </c>
      <c r="IT4" t="e">
        <f>AND(Tareas!O3,"AAAAABvA7/0=")</f>
        <v>#VALUE!</v>
      </c>
      <c r="IU4" t="e">
        <f>AND(Tareas!P3,"AAAAABvA7/4=")</f>
        <v>#VALUE!</v>
      </c>
      <c r="IV4" t="e">
        <f>AND(Tareas!Q3,"AAAAABvA7/8=")</f>
        <v>#VALUE!</v>
      </c>
    </row>
    <row r="5" spans="1:256" x14ac:dyDescent="0.35">
      <c r="A5" t="e">
        <f>AND(Tareas!R3,"AAAAAFf/+QA=")</f>
        <v>#VALUE!</v>
      </c>
      <c r="B5" t="e">
        <f>AND(Tareas!S3,"AAAAAFf/+QE=")</f>
        <v>#VALUE!</v>
      </c>
      <c r="C5" t="e">
        <f>AND(Tareas!T3,"AAAAAFf/+QI=")</f>
        <v>#VALUE!</v>
      </c>
      <c r="D5">
        <f>IF(Tareas!4:4,"AAAAAFf/+QM=",0)</f>
        <v>0</v>
      </c>
      <c r="E5" t="e">
        <f>AND(Tareas!A4,"AAAAAFf/+QQ=")</f>
        <v>#VALUE!</v>
      </c>
      <c r="F5" t="e">
        <f>AND(Tareas!#REF!,"AAAAAFf/+QU=")</f>
        <v>#REF!</v>
      </c>
      <c r="G5" t="e">
        <f>AND(Tareas!B4,"AAAAAFf/+QY=")</f>
        <v>#VALUE!</v>
      </c>
      <c r="H5" t="e">
        <f>AND(Tareas!C4,"AAAAAFf/+Qc=")</f>
        <v>#VALUE!</v>
      </c>
      <c r="I5" t="e">
        <f>AND(Tareas!D4,"AAAAAFf/+Qg=")</f>
        <v>#VALUE!</v>
      </c>
      <c r="J5" t="e">
        <f>AND(Tareas!E4,"AAAAAFf/+Qk=")</f>
        <v>#VALUE!</v>
      </c>
      <c r="K5" t="e">
        <f>AND(Tareas!F4,"AAAAAFf/+Qo=")</f>
        <v>#VALUE!</v>
      </c>
      <c r="L5" t="e">
        <f>AND(Tareas!G4,"AAAAAFf/+Qs=")</f>
        <v>#VALUE!</v>
      </c>
      <c r="M5" t="e">
        <f>AND(Tareas!H4,"AAAAAFf/+Qw=")</f>
        <v>#VALUE!</v>
      </c>
      <c r="N5" t="e">
        <f>AND(Tareas!I4,"AAAAAFf/+Q0=")</f>
        <v>#VALUE!</v>
      </c>
      <c r="O5" t="e">
        <f>AND(Tareas!J4,"AAAAAFf/+Q4=")</f>
        <v>#VALUE!</v>
      </c>
      <c r="P5" t="e">
        <f>AND(Tareas!K4,"AAAAAFf/+Q8=")</f>
        <v>#VALUE!</v>
      </c>
      <c r="Q5" t="e">
        <f>AND(Tareas!L4,"AAAAAFf/+RA=")</f>
        <v>#VALUE!</v>
      </c>
      <c r="R5" t="e">
        <f>AND(Tareas!M4,"AAAAAFf/+RE=")</f>
        <v>#VALUE!</v>
      </c>
      <c r="S5" t="e">
        <f>AND(Tareas!N4,"AAAAAFf/+RI=")</f>
        <v>#VALUE!</v>
      </c>
      <c r="T5" t="e">
        <f>AND(Tareas!O4,"AAAAAFf/+RM=")</f>
        <v>#VALUE!</v>
      </c>
      <c r="U5" t="e">
        <f>AND(Tareas!P4,"AAAAAFf/+RQ=")</f>
        <v>#VALUE!</v>
      </c>
      <c r="V5" t="e">
        <f>AND(Tareas!Q4,"AAAAAFf/+RU=")</f>
        <v>#VALUE!</v>
      </c>
      <c r="W5" t="e">
        <f>AND(Tareas!R4,"AAAAAFf/+RY=")</f>
        <v>#VALUE!</v>
      </c>
      <c r="X5" t="e">
        <f>AND(Tareas!S4,"AAAAAFf/+Rc=")</f>
        <v>#VALUE!</v>
      </c>
      <c r="Y5" t="e">
        <f>AND(Tareas!T4,"AAAAAFf/+Rg=")</f>
        <v>#VALUE!</v>
      </c>
      <c r="Z5">
        <f>IF(Tareas!5:5,"AAAAAFf/+Rk=",0)</f>
        <v>0</v>
      </c>
      <c r="AA5" t="e">
        <f>AND(Tareas!A5,"AAAAAFf/+Ro=")</f>
        <v>#VALUE!</v>
      </c>
      <c r="AB5" t="e">
        <f>AND(Tareas!#REF!,"AAAAAFf/+Rs=")</f>
        <v>#REF!</v>
      </c>
      <c r="AC5" t="e">
        <f>AND(Tareas!B5,"AAAAAFf/+Rw=")</f>
        <v>#VALUE!</v>
      </c>
      <c r="AD5" t="e">
        <f>AND(Tareas!C5,"AAAAAFf/+R0=")</f>
        <v>#VALUE!</v>
      </c>
      <c r="AE5" t="e">
        <f>AND(Tareas!D5,"AAAAAFf/+R4=")</f>
        <v>#VALUE!</v>
      </c>
      <c r="AF5" t="e">
        <f>AND(Tareas!E5,"AAAAAFf/+R8=")</f>
        <v>#VALUE!</v>
      </c>
      <c r="AG5" t="e">
        <f>AND(Tareas!F5,"AAAAAFf/+SA=")</f>
        <v>#VALUE!</v>
      </c>
      <c r="AH5" t="e">
        <f>AND(Tareas!G5,"AAAAAFf/+SE=")</f>
        <v>#VALUE!</v>
      </c>
      <c r="AI5" t="e">
        <f>AND(Tareas!H5,"AAAAAFf/+SI=")</f>
        <v>#VALUE!</v>
      </c>
      <c r="AJ5" t="e">
        <f>AND(Tareas!I5,"AAAAAFf/+SM=")</f>
        <v>#VALUE!</v>
      </c>
      <c r="AK5" t="e">
        <f>AND(Tareas!J5,"AAAAAFf/+SQ=")</f>
        <v>#VALUE!</v>
      </c>
      <c r="AL5" t="e">
        <f>AND(Tareas!K5,"AAAAAFf/+SU=")</f>
        <v>#VALUE!</v>
      </c>
      <c r="AM5" t="e">
        <f>AND(Tareas!L5,"AAAAAFf/+SY=")</f>
        <v>#VALUE!</v>
      </c>
      <c r="AN5" t="e">
        <f>AND(Tareas!M5,"AAAAAFf/+Sc=")</f>
        <v>#VALUE!</v>
      </c>
      <c r="AO5" t="e">
        <f>AND(Tareas!N5,"AAAAAFf/+Sg=")</f>
        <v>#VALUE!</v>
      </c>
      <c r="AP5" t="e">
        <f>AND(Tareas!O5,"AAAAAFf/+Sk=")</f>
        <v>#VALUE!</v>
      </c>
      <c r="AQ5" t="e">
        <f>AND(Tareas!P5,"AAAAAFf/+So=")</f>
        <v>#VALUE!</v>
      </c>
      <c r="AR5" t="e">
        <f>AND(Tareas!Q5,"AAAAAFf/+Ss=")</f>
        <v>#VALUE!</v>
      </c>
      <c r="AS5" t="e">
        <f>AND(Tareas!R5,"AAAAAFf/+Sw=")</f>
        <v>#VALUE!</v>
      </c>
      <c r="AT5" t="e">
        <f>AND(Tareas!S5,"AAAAAFf/+S0=")</f>
        <v>#VALUE!</v>
      </c>
      <c r="AU5" t="e">
        <f>AND(Tareas!T5,"AAAAAFf/+S4=")</f>
        <v>#VALUE!</v>
      </c>
      <c r="AV5">
        <f>IF(Tareas!6:6,"AAAAAFf/+S8=",0)</f>
        <v>0</v>
      </c>
      <c r="AW5" t="e">
        <f>AND(Tareas!A6,"AAAAAFf/+TA=")</f>
        <v>#VALUE!</v>
      </c>
      <c r="AX5" t="e">
        <f>AND(Tareas!#REF!,"AAAAAFf/+TE=")</f>
        <v>#REF!</v>
      </c>
      <c r="AY5" t="e">
        <f>AND(Tareas!B6,"AAAAAFf/+TI=")</f>
        <v>#VALUE!</v>
      </c>
      <c r="AZ5" t="e">
        <f>AND(Tareas!C6,"AAAAAFf/+TM=")</f>
        <v>#VALUE!</v>
      </c>
      <c r="BA5" t="e">
        <f>AND(Tareas!D6,"AAAAAFf/+TQ=")</f>
        <v>#VALUE!</v>
      </c>
      <c r="BB5" t="e">
        <f>AND(Tareas!E6,"AAAAAFf/+TU=")</f>
        <v>#VALUE!</v>
      </c>
      <c r="BC5" t="e">
        <f>AND(Tareas!F6,"AAAAAFf/+TY=")</f>
        <v>#VALUE!</v>
      </c>
      <c r="BD5" t="e">
        <f>AND(Tareas!G6,"AAAAAFf/+Tc=")</f>
        <v>#VALUE!</v>
      </c>
      <c r="BE5" t="e">
        <f>AND(Tareas!H6,"AAAAAFf/+Tg=")</f>
        <v>#VALUE!</v>
      </c>
      <c r="BF5" t="e">
        <f>AND(Tareas!I6,"AAAAAFf/+Tk=")</f>
        <v>#VALUE!</v>
      </c>
      <c r="BG5" t="e">
        <f>AND(Tareas!J6,"AAAAAFf/+To=")</f>
        <v>#VALUE!</v>
      </c>
      <c r="BH5" t="e">
        <f>AND(Tareas!K6,"AAAAAFf/+Ts=")</f>
        <v>#VALUE!</v>
      </c>
      <c r="BI5" t="e">
        <f>AND(Tareas!L6,"AAAAAFf/+Tw=")</f>
        <v>#VALUE!</v>
      </c>
      <c r="BJ5" t="e">
        <f>AND(Tareas!M6,"AAAAAFf/+T0=")</f>
        <v>#VALUE!</v>
      </c>
      <c r="BK5" t="e">
        <f>AND(Tareas!N6,"AAAAAFf/+T4=")</f>
        <v>#VALUE!</v>
      </c>
      <c r="BL5" t="e">
        <f>AND(Tareas!O6,"AAAAAFf/+T8=")</f>
        <v>#VALUE!</v>
      </c>
      <c r="BM5" t="e">
        <f>AND(Tareas!P6,"AAAAAFf/+UA=")</f>
        <v>#VALUE!</v>
      </c>
      <c r="BN5" t="e">
        <f>AND(Tareas!Q6,"AAAAAFf/+UE=")</f>
        <v>#VALUE!</v>
      </c>
      <c r="BO5" t="e">
        <f>AND(Tareas!R6,"AAAAAFf/+UI=")</f>
        <v>#VALUE!</v>
      </c>
      <c r="BP5" t="e">
        <f>AND(Tareas!S6,"AAAAAFf/+UM=")</f>
        <v>#VALUE!</v>
      </c>
      <c r="BQ5" t="e">
        <f>AND(Tareas!T6,"AAAAAFf/+UQ=")</f>
        <v>#VALUE!</v>
      </c>
      <c r="BR5" t="e">
        <f>IF(Tareas!#REF!,"AAAAAFf/+UU=",0)</f>
        <v>#REF!</v>
      </c>
      <c r="BS5" t="e">
        <f>AND(Tareas!#REF!,"AAAAAFf/+UY=")</f>
        <v>#REF!</v>
      </c>
      <c r="BT5" t="e">
        <f>AND(Tareas!#REF!,"AAAAAFf/+Uc=")</f>
        <v>#REF!</v>
      </c>
      <c r="BU5" t="e">
        <f>AND(Tareas!#REF!,"AAAAAFf/+Ug=")</f>
        <v>#REF!</v>
      </c>
      <c r="BV5" t="e">
        <f>AND(Tareas!#REF!,"AAAAAFf/+Uk=")</f>
        <v>#REF!</v>
      </c>
      <c r="BW5" t="e">
        <f>AND(Tareas!#REF!,"AAAAAFf/+Uo=")</f>
        <v>#REF!</v>
      </c>
      <c r="BX5" t="e">
        <f>AND(Tareas!#REF!,"AAAAAFf/+Us=")</f>
        <v>#REF!</v>
      </c>
      <c r="BY5" t="e">
        <f>AND(Tareas!#REF!,"AAAAAFf/+Uw=")</f>
        <v>#REF!</v>
      </c>
      <c r="BZ5" t="e">
        <f>AND(Tareas!#REF!,"AAAAAFf/+U0=")</f>
        <v>#REF!</v>
      </c>
      <c r="CA5" t="e">
        <f>AND(Tareas!#REF!,"AAAAAFf/+U4=")</f>
        <v>#REF!</v>
      </c>
      <c r="CB5" t="e">
        <f>AND(Tareas!#REF!,"AAAAAFf/+U8=")</f>
        <v>#REF!</v>
      </c>
      <c r="CC5" t="e">
        <f>AND(Tareas!#REF!,"AAAAAFf/+VA=")</f>
        <v>#REF!</v>
      </c>
      <c r="CD5" t="e">
        <f>AND(Tareas!#REF!,"AAAAAFf/+VE=")</f>
        <v>#REF!</v>
      </c>
      <c r="CE5" t="e">
        <f>AND(Tareas!#REF!,"AAAAAFf/+VI=")</f>
        <v>#REF!</v>
      </c>
      <c r="CF5" t="e">
        <f>AND(Tareas!#REF!,"AAAAAFf/+VM=")</f>
        <v>#REF!</v>
      </c>
      <c r="CG5" t="e">
        <f>AND(Tareas!#REF!,"AAAAAFf/+VQ=")</f>
        <v>#REF!</v>
      </c>
      <c r="CH5" t="e">
        <f>AND(Tareas!#REF!,"AAAAAFf/+VU=")</f>
        <v>#REF!</v>
      </c>
      <c r="CI5" t="e">
        <f>AND(Tareas!#REF!,"AAAAAFf/+VY=")</f>
        <v>#REF!</v>
      </c>
      <c r="CJ5" t="e">
        <f>AND(Tareas!#REF!,"AAAAAFf/+Vc=")</f>
        <v>#REF!</v>
      </c>
      <c r="CK5" t="e">
        <f>AND(Tareas!#REF!,"AAAAAFf/+Vg=")</f>
        <v>#REF!</v>
      </c>
      <c r="CL5" t="e">
        <f>AND(Tareas!#REF!,"AAAAAFf/+Vk=")</f>
        <v>#REF!</v>
      </c>
      <c r="CM5" t="e">
        <f>AND(Tareas!#REF!,"AAAAAFf/+Vo=")</f>
        <v>#REF!</v>
      </c>
      <c r="CN5">
        <f>IF(Tareas!7:7,"AAAAAFf/+Vs=",0)</f>
        <v>0</v>
      </c>
      <c r="CO5" t="e">
        <f>AND(Tareas!A7,"AAAAAFf/+Vw=")</f>
        <v>#VALUE!</v>
      </c>
      <c r="CP5" t="e">
        <f>AND(Tareas!#REF!,"AAAAAFf/+V0=")</f>
        <v>#REF!</v>
      </c>
      <c r="CQ5" t="e">
        <f>AND(Tareas!B7,"AAAAAFf/+V4=")</f>
        <v>#VALUE!</v>
      </c>
      <c r="CR5" t="e">
        <f>AND(Tareas!C7,"AAAAAFf/+V8=")</f>
        <v>#VALUE!</v>
      </c>
      <c r="CS5" t="e">
        <f>AND(Tareas!D7,"AAAAAFf/+WA=")</f>
        <v>#VALUE!</v>
      </c>
      <c r="CT5" t="e">
        <f>AND(Tareas!E7,"AAAAAFf/+WE=")</f>
        <v>#VALUE!</v>
      </c>
      <c r="CU5" t="e">
        <f>AND(Tareas!F7,"AAAAAFf/+WI=")</f>
        <v>#VALUE!</v>
      </c>
      <c r="CV5" t="e">
        <f>AND(Tareas!G7,"AAAAAFf/+WM=")</f>
        <v>#VALUE!</v>
      </c>
      <c r="CW5" t="e">
        <f>AND(Tareas!H7,"AAAAAFf/+WQ=")</f>
        <v>#VALUE!</v>
      </c>
      <c r="CX5" t="e">
        <f>AND(Tareas!I7,"AAAAAFf/+WU=")</f>
        <v>#VALUE!</v>
      </c>
      <c r="CY5" t="e">
        <f>AND(Tareas!J7,"AAAAAFf/+WY=")</f>
        <v>#VALUE!</v>
      </c>
      <c r="CZ5" t="e">
        <f>AND(Tareas!K7,"AAAAAFf/+Wc=")</f>
        <v>#VALUE!</v>
      </c>
      <c r="DA5" t="e">
        <f>AND(Tareas!L7,"AAAAAFf/+Wg=")</f>
        <v>#VALUE!</v>
      </c>
      <c r="DB5" t="e">
        <f>AND(Tareas!M7,"AAAAAFf/+Wk=")</f>
        <v>#VALUE!</v>
      </c>
      <c r="DC5" t="e">
        <f>AND(Tareas!N7,"AAAAAFf/+Wo=")</f>
        <v>#VALUE!</v>
      </c>
      <c r="DD5" t="e">
        <f>AND(Tareas!O7,"AAAAAFf/+Ws=")</f>
        <v>#VALUE!</v>
      </c>
      <c r="DE5" t="e">
        <f>AND(Tareas!P7,"AAAAAFf/+Ww=")</f>
        <v>#VALUE!</v>
      </c>
      <c r="DF5" t="e">
        <f>AND(Tareas!Q7,"AAAAAFf/+W0=")</f>
        <v>#VALUE!</v>
      </c>
      <c r="DG5" t="e">
        <f>AND(Tareas!R7,"AAAAAFf/+W4=")</f>
        <v>#VALUE!</v>
      </c>
      <c r="DH5" t="e">
        <f>AND(Tareas!S7,"AAAAAFf/+W8=")</f>
        <v>#VALUE!</v>
      </c>
      <c r="DI5" t="e">
        <f>AND(Tareas!T7,"AAAAAFf/+XA=")</f>
        <v>#VALUE!</v>
      </c>
      <c r="DJ5" t="e">
        <f>IF(Tareas!#REF!,"AAAAAFf/+XE=",0)</f>
        <v>#REF!</v>
      </c>
      <c r="DK5" t="e">
        <f>AND(Tareas!#REF!,"AAAAAFf/+XI=")</f>
        <v>#REF!</v>
      </c>
      <c r="DL5" t="e">
        <f>AND(Tareas!#REF!,"AAAAAFf/+XM=")</f>
        <v>#REF!</v>
      </c>
      <c r="DM5" t="e">
        <f>AND(Tareas!#REF!,"AAAAAFf/+XQ=")</f>
        <v>#REF!</v>
      </c>
      <c r="DN5" t="e">
        <f>AND(Tareas!#REF!,"AAAAAFf/+XU=")</f>
        <v>#REF!</v>
      </c>
      <c r="DO5" t="e">
        <f>AND(Tareas!#REF!,"AAAAAFf/+XY=")</f>
        <v>#REF!</v>
      </c>
      <c r="DP5" t="e">
        <f>AND(Tareas!#REF!,"AAAAAFf/+Xc=")</f>
        <v>#REF!</v>
      </c>
      <c r="DQ5" t="e">
        <f>AND(Tareas!#REF!,"AAAAAFf/+Xg=")</f>
        <v>#REF!</v>
      </c>
      <c r="DR5" t="e">
        <f>AND(Tareas!#REF!,"AAAAAFf/+Xk=")</f>
        <v>#REF!</v>
      </c>
      <c r="DS5" t="e">
        <f>AND(Tareas!#REF!,"AAAAAFf/+Xo=")</f>
        <v>#REF!</v>
      </c>
      <c r="DT5" t="e">
        <f>AND(Tareas!#REF!,"AAAAAFf/+Xs=")</f>
        <v>#REF!</v>
      </c>
      <c r="DU5" t="e">
        <f>AND(Tareas!#REF!,"AAAAAFf/+Xw=")</f>
        <v>#REF!</v>
      </c>
      <c r="DV5" t="e">
        <f>AND(Tareas!#REF!,"AAAAAFf/+X0=")</f>
        <v>#REF!</v>
      </c>
      <c r="DW5" t="e">
        <f>AND(Tareas!#REF!,"AAAAAFf/+X4=")</f>
        <v>#REF!</v>
      </c>
      <c r="DX5" t="e">
        <f>AND(Tareas!#REF!,"AAAAAFf/+X8=")</f>
        <v>#REF!</v>
      </c>
      <c r="DY5" t="e">
        <f>AND(Tareas!#REF!,"AAAAAFf/+YA=")</f>
        <v>#REF!</v>
      </c>
      <c r="DZ5" t="e">
        <f>AND(Tareas!#REF!,"AAAAAFf/+YE=")</f>
        <v>#REF!</v>
      </c>
      <c r="EA5" t="e">
        <f>AND(Tareas!#REF!,"AAAAAFf/+YI=")</f>
        <v>#REF!</v>
      </c>
      <c r="EB5" t="e">
        <f>AND(Tareas!#REF!,"AAAAAFf/+YM=")</f>
        <v>#REF!</v>
      </c>
      <c r="EC5" t="e">
        <f>AND(Tareas!#REF!,"AAAAAFf/+YQ=")</f>
        <v>#REF!</v>
      </c>
      <c r="ED5" t="e">
        <f>AND(Tareas!#REF!,"AAAAAFf/+YU=")</f>
        <v>#REF!</v>
      </c>
      <c r="EE5" t="e">
        <f>AND(Tareas!#REF!,"AAAAAFf/+YY=")</f>
        <v>#REF!</v>
      </c>
      <c r="EF5">
        <f>IF(Tareas!8:8,"AAAAAFf/+Yc=",0)</f>
        <v>0</v>
      </c>
      <c r="EG5" t="e">
        <f>AND(Tareas!A8,"AAAAAFf/+Yg=")</f>
        <v>#VALUE!</v>
      </c>
      <c r="EH5" t="e">
        <f>AND(Tareas!#REF!,"AAAAAFf/+Yk=")</f>
        <v>#REF!</v>
      </c>
      <c r="EI5" t="e">
        <f>AND(Tareas!B8,"AAAAAFf/+Yo=")</f>
        <v>#VALUE!</v>
      </c>
      <c r="EJ5" t="e">
        <f>AND(Tareas!C8,"AAAAAFf/+Ys=")</f>
        <v>#VALUE!</v>
      </c>
      <c r="EK5" t="e">
        <f>AND(Tareas!D8,"AAAAAFf/+Yw=")</f>
        <v>#VALUE!</v>
      </c>
      <c r="EL5" t="e">
        <f>AND(Tareas!E8,"AAAAAFf/+Y0=")</f>
        <v>#VALUE!</v>
      </c>
      <c r="EM5" t="e">
        <f>AND(Tareas!F8,"AAAAAFf/+Y4=")</f>
        <v>#VALUE!</v>
      </c>
      <c r="EN5" t="e">
        <f>AND(Tareas!G8,"AAAAAFf/+Y8=")</f>
        <v>#VALUE!</v>
      </c>
      <c r="EO5" t="e">
        <f>AND(Tareas!H8,"AAAAAFf/+ZA=")</f>
        <v>#VALUE!</v>
      </c>
      <c r="EP5" t="e">
        <f>AND(Tareas!I8,"AAAAAFf/+ZE=")</f>
        <v>#VALUE!</v>
      </c>
      <c r="EQ5" t="e">
        <f>AND(Tareas!J8,"AAAAAFf/+ZI=")</f>
        <v>#VALUE!</v>
      </c>
      <c r="ER5" t="e">
        <f>AND(Tareas!K8,"AAAAAFf/+ZM=")</f>
        <v>#VALUE!</v>
      </c>
      <c r="ES5" t="e">
        <f>AND(Tareas!L8,"AAAAAFf/+ZQ=")</f>
        <v>#VALUE!</v>
      </c>
      <c r="ET5" t="e">
        <f>AND(Tareas!M8,"AAAAAFf/+ZU=")</f>
        <v>#VALUE!</v>
      </c>
      <c r="EU5" t="e">
        <f>AND(Tareas!N8,"AAAAAFf/+ZY=")</f>
        <v>#VALUE!</v>
      </c>
      <c r="EV5" t="e">
        <f>AND(Tareas!O8,"AAAAAFf/+Zc=")</f>
        <v>#VALUE!</v>
      </c>
      <c r="EW5" t="e">
        <f>AND(Tareas!P8,"AAAAAFf/+Zg=")</f>
        <v>#VALUE!</v>
      </c>
      <c r="EX5" t="e">
        <f>AND(Tareas!Q8,"AAAAAFf/+Zk=")</f>
        <v>#VALUE!</v>
      </c>
      <c r="EY5" t="e">
        <f>AND(Tareas!R8,"AAAAAFf/+Zo=")</f>
        <v>#VALUE!</v>
      </c>
      <c r="EZ5" t="e">
        <f>AND(Tareas!S8,"AAAAAFf/+Zs=")</f>
        <v>#VALUE!</v>
      </c>
      <c r="FA5" t="e">
        <f>AND(Tareas!T8,"AAAAAFf/+Zw=")</f>
        <v>#VALUE!</v>
      </c>
      <c r="FB5">
        <f>IF(Tareas!9:9,"AAAAAFf/+Z0=",0)</f>
        <v>0</v>
      </c>
      <c r="FC5" t="e">
        <f>AND(Tareas!A9,"AAAAAFf/+Z4=")</f>
        <v>#VALUE!</v>
      </c>
      <c r="FD5" t="e">
        <f>AND(Tareas!#REF!,"AAAAAFf/+Z8=")</f>
        <v>#REF!</v>
      </c>
      <c r="FE5" t="e">
        <f>AND(Tareas!B9,"AAAAAFf/+aA=")</f>
        <v>#VALUE!</v>
      </c>
      <c r="FF5" t="e">
        <f>AND(Tareas!C9,"AAAAAFf/+aE=")</f>
        <v>#VALUE!</v>
      </c>
      <c r="FG5" t="e">
        <f>AND(Tareas!D9,"AAAAAFf/+aI=")</f>
        <v>#VALUE!</v>
      </c>
      <c r="FH5" t="e">
        <f>AND(Tareas!E9,"AAAAAFf/+aM=")</f>
        <v>#VALUE!</v>
      </c>
      <c r="FI5" t="e">
        <f>AND(Tareas!F9,"AAAAAFf/+aQ=")</f>
        <v>#VALUE!</v>
      </c>
      <c r="FJ5" t="e">
        <f>AND(Tareas!G9,"AAAAAFf/+aU=")</f>
        <v>#VALUE!</v>
      </c>
      <c r="FK5" t="e">
        <f>AND(Tareas!H9,"AAAAAFf/+aY=")</f>
        <v>#VALUE!</v>
      </c>
      <c r="FL5" t="e">
        <f>AND(Tareas!I9,"AAAAAFf/+ac=")</f>
        <v>#VALUE!</v>
      </c>
      <c r="FM5" t="e">
        <f>AND(Tareas!J9,"AAAAAFf/+ag=")</f>
        <v>#VALUE!</v>
      </c>
      <c r="FN5" t="e">
        <f>AND(Tareas!K9,"AAAAAFf/+ak=")</f>
        <v>#VALUE!</v>
      </c>
      <c r="FO5" t="e">
        <f>AND(Tareas!L9,"AAAAAFf/+ao=")</f>
        <v>#VALUE!</v>
      </c>
      <c r="FP5" t="e">
        <f>AND(Tareas!M9,"AAAAAFf/+as=")</f>
        <v>#VALUE!</v>
      </c>
      <c r="FQ5" t="e">
        <f>AND(Tareas!N9,"AAAAAFf/+aw=")</f>
        <v>#VALUE!</v>
      </c>
      <c r="FR5" t="e">
        <f>AND(Tareas!O9,"AAAAAFf/+a0=")</f>
        <v>#VALUE!</v>
      </c>
      <c r="FS5" t="e">
        <f>AND(Tareas!P9,"AAAAAFf/+a4=")</f>
        <v>#VALUE!</v>
      </c>
      <c r="FT5" t="e">
        <f>AND(Tareas!Q9,"AAAAAFf/+a8=")</f>
        <v>#VALUE!</v>
      </c>
      <c r="FU5" t="e">
        <f>AND(Tareas!R9,"AAAAAFf/+bA=")</f>
        <v>#VALUE!</v>
      </c>
      <c r="FV5" t="e">
        <f>AND(Tareas!S9,"AAAAAFf/+bE=")</f>
        <v>#VALUE!</v>
      </c>
      <c r="FW5" t="e">
        <f>AND(Tareas!T9,"AAAAAFf/+bI=")</f>
        <v>#VALUE!</v>
      </c>
      <c r="FX5">
        <f>IF(Tareas!10:10,"AAAAAFf/+bM=",0)</f>
        <v>0</v>
      </c>
      <c r="FY5" t="e">
        <f>AND(Tareas!A10,"AAAAAFf/+bQ=")</f>
        <v>#VALUE!</v>
      </c>
      <c r="FZ5" t="e">
        <f>AND(Tareas!#REF!,"AAAAAFf/+bU=")</f>
        <v>#REF!</v>
      </c>
      <c r="GA5" t="e">
        <f>AND(Tareas!B10,"AAAAAFf/+bY=")</f>
        <v>#VALUE!</v>
      </c>
      <c r="GB5" t="e">
        <f>AND(Tareas!C10,"AAAAAFf/+bc=")</f>
        <v>#VALUE!</v>
      </c>
      <c r="GC5" t="e">
        <f>AND(Tareas!D10,"AAAAAFf/+bg=")</f>
        <v>#VALUE!</v>
      </c>
      <c r="GD5" t="e">
        <f>AND(Tareas!E10,"AAAAAFf/+bk=")</f>
        <v>#VALUE!</v>
      </c>
      <c r="GE5" t="e">
        <f>AND(Tareas!F10,"AAAAAFf/+bo=")</f>
        <v>#VALUE!</v>
      </c>
      <c r="GF5" t="e">
        <f>AND(Tareas!G10,"AAAAAFf/+bs=")</f>
        <v>#VALUE!</v>
      </c>
      <c r="GG5" t="e">
        <f>AND(Tareas!H10,"AAAAAFf/+bw=")</f>
        <v>#VALUE!</v>
      </c>
      <c r="GH5" t="e">
        <f>AND(Tareas!I10,"AAAAAFf/+b0=")</f>
        <v>#VALUE!</v>
      </c>
      <c r="GI5" t="e">
        <f>AND(Tareas!J10,"AAAAAFf/+b4=")</f>
        <v>#VALUE!</v>
      </c>
      <c r="GJ5" t="e">
        <f>AND(Tareas!K10,"AAAAAFf/+b8=")</f>
        <v>#VALUE!</v>
      </c>
      <c r="GK5" t="e">
        <f>AND(Tareas!L10,"AAAAAFf/+cA=")</f>
        <v>#VALUE!</v>
      </c>
      <c r="GL5" t="e">
        <f>AND(Tareas!M10,"AAAAAFf/+cE=")</f>
        <v>#VALUE!</v>
      </c>
      <c r="GM5" t="e">
        <f>AND(Tareas!N10,"AAAAAFf/+cI=")</f>
        <v>#VALUE!</v>
      </c>
      <c r="GN5" t="e">
        <f>AND(Tareas!O10,"AAAAAFf/+cM=")</f>
        <v>#VALUE!</v>
      </c>
      <c r="GO5" t="e">
        <f>AND(Tareas!P10,"AAAAAFf/+cQ=")</f>
        <v>#VALUE!</v>
      </c>
      <c r="GP5" t="e">
        <f>AND(Tareas!Q10,"AAAAAFf/+cU=")</f>
        <v>#VALUE!</v>
      </c>
      <c r="GQ5" t="e">
        <f>AND(Tareas!R10,"AAAAAFf/+cY=")</f>
        <v>#VALUE!</v>
      </c>
      <c r="GR5" t="e">
        <f>AND(Tareas!S10,"AAAAAFf/+cc=")</f>
        <v>#VALUE!</v>
      </c>
      <c r="GS5" t="e">
        <f>AND(Tareas!T10,"AAAAAFf/+cg=")</f>
        <v>#VALUE!</v>
      </c>
      <c r="GT5">
        <f>IF(Tareas!11:11,"AAAAAFf/+ck=",0)</f>
        <v>0</v>
      </c>
      <c r="GU5" t="e">
        <f>AND(Tareas!A11,"AAAAAFf/+co=")</f>
        <v>#VALUE!</v>
      </c>
      <c r="GV5" t="e">
        <f>AND(Tareas!#REF!,"AAAAAFf/+cs=")</f>
        <v>#REF!</v>
      </c>
      <c r="GW5" t="e">
        <f>AND(Tareas!B11,"AAAAAFf/+cw=")</f>
        <v>#VALUE!</v>
      </c>
      <c r="GX5" t="e">
        <f>AND(Tareas!C11,"AAAAAFf/+c0=")</f>
        <v>#VALUE!</v>
      </c>
      <c r="GY5" t="e">
        <f>AND(Tareas!D11,"AAAAAFf/+c4=")</f>
        <v>#VALUE!</v>
      </c>
      <c r="GZ5" t="e">
        <f>AND(Tareas!E11,"AAAAAFf/+c8=")</f>
        <v>#VALUE!</v>
      </c>
      <c r="HA5" t="e">
        <f>AND(Tareas!F11,"AAAAAFf/+dA=")</f>
        <v>#VALUE!</v>
      </c>
      <c r="HB5" t="e">
        <f>AND(Tareas!G11,"AAAAAFf/+dE=")</f>
        <v>#VALUE!</v>
      </c>
      <c r="HC5" t="e">
        <f>AND(Tareas!H11,"AAAAAFf/+dI=")</f>
        <v>#VALUE!</v>
      </c>
      <c r="HD5" t="e">
        <f>AND(Tareas!I11,"AAAAAFf/+dM=")</f>
        <v>#VALUE!</v>
      </c>
      <c r="HE5" t="e">
        <f>AND(Tareas!J11,"AAAAAFf/+dQ=")</f>
        <v>#VALUE!</v>
      </c>
      <c r="HF5" t="e">
        <f>AND(Tareas!K11,"AAAAAFf/+dU=")</f>
        <v>#VALUE!</v>
      </c>
      <c r="HG5" t="e">
        <f>AND(Tareas!L11,"AAAAAFf/+dY=")</f>
        <v>#VALUE!</v>
      </c>
      <c r="HH5" t="e">
        <f>AND(Tareas!M11,"AAAAAFf/+dc=")</f>
        <v>#VALUE!</v>
      </c>
      <c r="HI5" t="e">
        <f>AND(Tareas!N11,"AAAAAFf/+dg=")</f>
        <v>#VALUE!</v>
      </c>
      <c r="HJ5" t="e">
        <f>AND(Tareas!O11,"AAAAAFf/+dk=")</f>
        <v>#VALUE!</v>
      </c>
      <c r="HK5" t="e">
        <f>AND(Tareas!P11,"AAAAAFf/+do=")</f>
        <v>#VALUE!</v>
      </c>
      <c r="HL5" t="e">
        <f>AND(Tareas!Q11,"AAAAAFf/+ds=")</f>
        <v>#VALUE!</v>
      </c>
      <c r="HM5" t="e">
        <f>AND(Tareas!R11,"AAAAAFf/+dw=")</f>
        <v>#VALUE!</v>
      </c>
      <c r="HN5" t="e">
        <f>AND(Tareas!S11,"AAAAAFf/+d0=")</f>
        <v>#VALUE!</v>
      </c>
      <c r="HO5" t="e">
        <f>AND(Tareas!T11,"AAAAAFf/+d4=")</f>
        <v>#VALUE!</v>
      </c>
      <c r="HP5">
        <f>IF(Tareas!12:12,"AAAAAFf/+d8=",0)</f>
        <v>0</v>
      </c>
      <c r="HQ5" t="e">
        <f>AND(Tareas!A12,"AAAAAFf/+eA=")</f>
        <v>#VALUE!</v>
      </c>
      <c r="HR5" t="e">
        <f>AND(Tareas!#REF!,"AAAAAFf/+eE=")</f>
        <v>#REF!</v>
      </c>
      <c r="HS5" t="e">
        <f>AND(Tareas!B12,"AAAAAFf/+eI=")</f>
        <v>#VALUE!</v>
      </c>
      <c r="HT5" t="e">
        <f>AND(Tareas!C12,"AAAAAFf/+eM=")</f>
        <v>#VALUE!</v>
      </c>
      <c r="HU5" t="e">
        <f>AND(Tareas!D12,"AAAAAFf/+eQ=")</f>
        <v>#VALUE!</v>
      </c>
      <c r="HV5" t="e">
        <f>AND(Tareas!E12,"AAAAAFf/+eU=")</f>
        <v>#VALUE!</v>
      </c>
      <c r="HW5" t="e">
        <f>AND(Tareas!F12,"AAAAAFf/+eY=")</f>
        <v>#VALUE!</v>
      </c>
      <c r="HX5" t="e">
        <f>AND(Tareas!G12,"AAAAAFf/+ec=")</f>
        <v>#VALUE!</v>
      </c>
      <c r="HY5" t="e">
        <f>AND(Tareas!H12,"AAAAAFf/+eg=")</f>
        <v>#VALUE!</v>
      </c>
      <c r="HZ5" t="e">
        <f>AND(Tareas!I12,"AAAAAFf/+ek=")</f>
        <v>#VALUE!</v>
      </c>
      <c r="IA5" t="e">
        <f>AND(Tareas!J12,"AAAAAFf/+eo=")</f>
        <v>#VALUE!</v>
      </c>
      <c r="IB5" t="e">
        <f>AND(Tareas!K12,"AAAAAFf/+es=")</f>
        <v>#VALUE!</v>
      </c>
      <c r="IC5" t="e">
        <f>AND(Tareas!L12,"AAAAAFf/+ew=")</f>
        <v>#VALUE!</v>
      </c>
      <c r="ID5" t="e">
        <f>AND(Tareas!M12,"AAAAAFf/+e0=")</f>
        <v>#VALUE!</v>
      </c>
      <c r="IE5" t="e">
        <f>AND(Tareas!N12,"AAAAAFf/+e4=")</f>
        <v>#VALUE!</v>
      </c>
      <c r="IF5" t="e">
        <f>AND(Tareas!O12,"AAAAAFf/+e8=")</f>
        <v>#VALUE!</v>
      </c>
      <c r="IG5" t="e">
        <f>AND(Tareas!P12,"AAAAAFf/+fA=")</f>
        <v>#VALUE!</v>
      </c>
      <c r="IH5" t="e">
        <f>AND(Tareas!Q12,"AAAAAFf/+fE=")</f>
        <v>#VALUE!</v>
      </c>
      <c r="II5" t="e">
        <f>AND(Tareas!R12,"AAAAAFf/+fI=")</f>
        <v>#VALUE!</v>
      </c>
      <c r="IJ5" t="e">
        <f>AND(Tareas!S12,"AAAAAFf/+fM=")</f>
        <v>#VALUE!</v>
      </c>
      <c r="IK5" t="e">
        <f>AND(Tareas!T12,"AAAAAFf/+fQ=")</f>
        <v>#VALUE!</v>
      </c>
      <c r="IL5">
        <f>IF(Tareas!13:13,"AAAAAFf/+fU=",0)</f>
        <v>0</v>
      </c>
      <c r="IM5" t="e">
        <f>AND(Tareas!A13,"AAAAAFf/+fY=")</f>
        <v>#VALUE!</v>
      </c>
      <c r="IN5" t="e">
        <f>AND(Tareas!#REF!,"AAAAAFf/+fc=")</f>
        <v>#REF!</v>
      </c>
      <c r="IO5" t="e">
        <f>AND(Tareas!B13,"AAAAAFf/+fg=")</f>
        <v>#VALUE!</v>
      </c>
      <c r="IP5" t="e">
        <f>AND(Tareas!C13,"AAAAAFf/+fk=")</f>
        <v>#VALUE!</v>
      </c>
      <c r="IQ5" t="e">
        <f>AND(Tareas!D13,"AAAAAFf/+fo=")</f>
        <v>#VALUE!</v>
      </c>
      <c r="IR5" t="e">
        <f>AND(Tareas!E13,"AAAAAFf/+fs=")</f>
        <v>#VALUE!</v>
      </c>
      <c r="IS5" t="e">
        <f>AND(Tareas!F13,"AAAAAFf/+fw=")</f>
        <v>#VALUE!</v>
      </c>
      <c r="IT5" t="e">
        <f>AND(Tareas!G13,"AAAAAFf/+f0=")</f>
        <v>#VALUE!</v>
      </c>
      <c r="IU5" t="e">
        <f>AND(Tareas!H13,"AAAAAFf/+f4=")</f>
        <v>#VALUE!</v>
      </c>
      <c r="IV5" t="e">
        <f>AND(Tareas!I13,"AAAAAFf/+f8=")</f>
        <v>#VALUE!</v>
      </c>
    </row>
    <row r="6" spans="1:256" x14ac:dyDescent="0.35">
      <c r="A6" t="e">
        <f>AND(Tareas!J13,"AAAAAHq58wA=")</f>
        <v>#VALUE!</v>
      </c>
      <c r="B6" t="e">
        <f>AND(Tareas!K13,"AAAAAHq58wE=")</f>
        <v>#VALUE!</v>
      </c>
      <c r="C6" t="e">
        <f>AND(Tareas!L13,"AAAAAHq58wI=")</f>
        <v>#VALUE!</v>
      </c>
      <c r="D6" t="e">
        <f>AND(Tareas!M13,"AAAAAHq58wM=")</f>
        <v>#VALUE!</v>
      </c>
      <c r="E6" t="e">
        <f>AND(Tareas!N13,"AAAAAHq58wQ=")</f>
        <v>#VALUE!</v>
      </c>
      <c r="F6" t="e">
        <f>AND(Tareas!O13,"AAAAAHq58wU=")</f>
        <v>#VALUE!</v>
      </c>
      <c r="G6" t="e">
        <f>AND(Tareas!P13,"AAAAAHq58wY=")</f>
        <v>#VALUE!</v>
      </c>
      <c r="H6" t="e">
        <f>AND(Tareas!Q13,"AAAAAHq58wc=")</f>
        <v>#VALUE!</v>
      </c>
      <c r="I6" t="e">
        <f>AND(Tareas!R13,"AAAAAHq58wg=")</f>
        <v>#VALUE!</v>
      </c>
      <c r="J6" t="e">
        <f>AND(Tareas!S13,"AAAAAHq58wk=")</f>
        <v>#VALUE!</v>
      </c>
      <c r="K6" t="e">
        <f>AND(Tareas!T13,"AAAAAHq58wo=")</f>
        <v>#VALUE!</v>
      </c>
      <c r="L6" t="e">
        <f>IF(Tareas!#REF!,"AAAAAHq58ws=",0)</f>
        <v>#REF!</v>
      </c>
      <c r="M6" t="e">
        <f>AND(Tareas!#REF!,"AAAAAHq58ww=")</f>
        <v>#REF!</v>
      </c>
      <c r="N6" t="e">
        <f>AND(Tareas!#REF!,"AAAAAHq58w0=")</f>
        <v>#REF!</v>
      </c>
      <c r="O6" t="e">
        <f>AND(Tareas!#REF!,"AAAAAHq58w4=")</f>
        <v>#REF!</v>
      </c>
      <c r="P6" t="e">
        <f>AND(Tareas!#REF!,"AAAAAHq58w8=")</f>
        <v>#REF!</v>
      </c>
      <c r="Q6" t="e">
        <f>AND(Tareas!#REF!,"AAAAAHq58xA=")</f>
        <v>#REF!</v>
      </c>
      <c r="R6" t="e">
        <f>AND(Tareas!#REF!,"AAAAAHq58xE=")</f>
        <v>#REF!</v>
      </c>
      <c r="S6" t="e">
        <f>AND(Tareas!#REF!,"AAAAAHq58xI=")</f>
        <v>#REF!</v>
      </c>
      <c r="T6" t="e">
        <f>AND(Tareas!#REF!,"AAAAAHq58xM=")</f>
        <v>#REF!</v>
      </c>
      <c r="U6" t="e">
        <f>AND(Tareas!#REF!,"AAAAAHq58xQ=")</f>
        <v>#REF!</v>
      </c>
      <c r="V6" t="e">
        <f>AND(Tareas!#REF!,"AAAAAHq58xU=")</f>
        <v>#REF!</v>
      </c>
      <c r="W6" t="e">
        <f>AND(Tareas!#REF!,"AAAAAHq58xY=")</f>
        <v>#REF!</v>
      </c>
      <c r="X6" t="e">
        <f>AND(Tareas!#REF!,"AAAAAHq58xc=")</f>
        <v>#REF!</v>
      </c>
      <c r="Y6" t="e">
        <f>AND(Tareas!#REF!,"AAAAAHq58xg=")</f>
        <v>#REF!</v>
      </c>
      <c r="Z6" t="e">
        <f>AND(Tareas!#REF!,"AAAAAHq58xk=")</f>
        <v>#REF!</v>
      </c>
      <c r="AA6" t="e">
        <f>AND(Tareas!#REF!,"AAAAAHq58xo=")</f>
        <v>#REF!</v>
      </c>
      <c r="AB6" t="e">
        <f>AND(Tareas!#REF!,"AAAAAHq58xs=")</f>
        <v>#REF!</v>
      </c>
      <c r="AC6" t="e">
        <f>AND(Tareas!#REF!,"AAAAAHq58xw=")</f>
        <v>#REF!</v>
      </c>
      <c r="AD6" t="e">
        <f>AND(Tareas!#REF!,"AAAAAHq58x0=")</f>
        <v>#REF!</v>
      </c>
      <c r="AE6" t="e">
        <f>AND(Tareas!#REF!,"AAAAAHq58x4=")</f>
        <v>#REF!</v>
      </c>
      <c r="AF6" t="e">
        <f>AND(Tareas!#REF!,"AAAAAHq58x8=")</f>
        <v>#REF!</v>
      </c>
      <c r="AG6" t="e">
        <f>AND(Tareas!#REF!,"AAAAAHq58yA=")</f>
        <v>#REF!</v>
      </c>
      <c r="AH6" t="e">
        <f>IF(Tareas!#REF!,"AAAAAHq58yE=",0)</f>
        <v>#REF!</v>
      </c>
      <c r="AI6" t="e">
        <f>AND(Tareas!#REF!,"AAAAAHq58yI=")</f>
        <v>#REF!</v>
      </c>
      <c r="AJ6" t="e">
        <f>AND(Tareas!#REF!,"AAAAAHq58yM=")</f>
        <v>#REF!</v>
      </c>
      <c r="AK6" t="e">
        <f>AND(Tareas!#REF!,"AAAAAHq58yQ=")</f>
        <v>#REF!</v>
      </c>
      <c r="AL6" t="e">
        <f>AND(Tareas!#REF!,"AAAAAHq58yU=")</f>
        <v>#REF!</v>
      </c>
      <c r="AM6" t="e">
        <f>AND(Tareas!#REF!,"AAAAAHq58yY=")</f>
        <v>#REF!</v>
      </c>
      <c r="AN6" t="e">
        <f>AND(Tareas!#REF!,"AAAAAHq58yc=")</f>
        <v>#REF!</v>
      </c>
      <c r="AO6" t="e">
        <f>AND(Tareas!#REF!,"AAAAAHq58yg=")</f>
        <v>#REF!</v>
      </c>
      <c r="AP6" t="e">
        <f>AND(Tareas!#REF!,"AAAAAHq58yk=")</f>
        <v>#REF!</v>
      </c>
      <c r="AQ6" t="e">
        <f>AND(Tareas!#REF!,"AAAAAHq58yo=")</f>
        <v>#REF!</v>
      </c>
      <c r="AR6" t="e">
        <f>AND(Tareas!#REF!,"AAAAAHq58ys=")</f>
        <v>#REF!</v>
      </c>
      <c r="AS6" t="e">
        <f>AND(Tareas!#REF!,"AAAAAHq58yw=")</f>
        <v>#REF!</v>
      </c>
      <c r="AT6" t="e">
        <f>AND(Tareas!#REF!,"AAAAAHq58y0=")</f>
        <v>#REF!</v>
      </c>
      <c r="AU6" t="e">
        <f>AND(Tareas!#REF!,"AAAAAHq58y4=")</f>
        <v>#REF!</v>
      </c>
      <c r="AV6" t="e">
        <f>AND(Tareas!#REF!,"AAAAAHq58y8=")</f>
        <v>#REF!</v>
      </c>
      <c r="AW6" t="e">
        <f>AND(Tareas!#REF!,"AAAAAHq58zA=")</f>
        <v>#REF!</v>
      </c>
      <c r="AX6" t="e">
        <f>AND(Tareas!#REF!,"AAAAAHq58zE=")</f>
        <v>#REF!</v>
      </c>
      <c r="AY6" t="e">
        <f>AND(Tareas!#REF!,"AAAAAHq58zI=")</f>
        <v>#REF!</v>
      </c>
      <c r="AZ6" t="e">
        <f>AND(Tareas!#REF!,"AAAAAHq58zM=")</f>
        <v>#REF!</v>
      </c>
      <c r="BA6" t="e">
        <f>AND(Tareas!#REF!,"AAAAAHq58zQ=")</f>
        <v>#REF!</v>
      </c>
      <c r="BB6" t="e">
        <f>AND(Tareas!#REF!,"AAAAAHq58zU=")</f>
        <v>#REF!</v>
      </c>
      <c r="BC6" t="e">
        <f>AND(Tareas!#REF!,"AAAAAHq58zY=")</f>
        <v>#REF!</v>
      </c>
      <c r="BD6" t="e">
        <f>IF(Tareas!#REF!,"AAAAAHq58zc=",0)</f>
        <v>#REF!</v>
      </c>
      <c r="BE6" t="e">
        <f>AND(Tareas!#REF!,"AAAAAHq58zg=")</f>
        <v>#REF!</v>
      </c>
      <c r="BF6" t="e">
        <f>AND(Tareas!#REF!,"AAAAAHq58zk=")</f>
        <v>#REF!</v>
      </c>
      <c r="BG6" t="e">
        <f>AND(Tareas!#REF!,"AAAAAHq58zo=")</f>
        <v>#REF!</v>
      </c>
      <c r="BH6" t="e">
        <f>AND(Tareas!#REF!,"AAAAAHq58zs=")</f>
        <v>#REF!</v>
      </c>
      <c r="BI6" t="e">
        <f>AND(Tareas!#REF!,"AAAAAHq58zw=")</f>
        <v>#REF!</v>
      </c>
      <c r="BJ6" t="e">
        <f>AND(Tareas!#REF!,"AAAAAHq58z0=")</f>
        <v>#REF!</v>
      </c>
      <c r="BK6" t="e">
        <f>AND(Tareas!#REF!,"AAAAAHq58z4=")</f>
        <v>#REF!</v>
      </c>
      <c r="BL6" t="e">
        <f>AND(Tareas!#REF!,"AAAAAHq58z8=")</f>
        <v>#REF!</v>
      </c>
      <c r="BM6" t="e">
        <f>AND(Tareas!#REF!,"AAAAAHq580A=")</f>
        <v>#REF!</v>
      </c>
      <c r="BN6" t="e">
        <f>AND(Tareas!#REF!,"AAAAAHq580E=")</f>
        <v>#REF!</v>
      </c>
      <c r="BO6" t="e">
        <f>AND(Tareas!#REF!,"AAAAAHq580I=")</f>
        <v>#REF!</v>
      </c>
      <c r="BP6" t="e">
        <f>AND(Tareas!#REF!,"AAAAAHq580M=")</f>
        <v>#REF!</v>
      </c>
      <c r="BQ6" t="e">
        <f>AND(Tareas!#REF!,"AAAAAHq580Q=")</f>
        <v>#REF!</v>
      </c>
      <c r="BR6" t="e">
        <f>AND(Tareas!#REF!,"AAAAAHq580U=")</f>
        <v>#REF!</v>
      </c>
      <c r="BS6" t="e">
        <f>AND(Tareas!#REF!,"AAAAAHq580Y=")</f>
        <v>#REF!</v>
      </c>
      <c r="BT6" t="e">
        <f>AND(Tareas!#REF!,"AAAAAHq580c=")</f>
        <v>#REF!</v>
      </c>
      <c r="BU6" t="e">
        <f>AND(Tareas!#REF!,"AAAAAHq580g=")</f>
        <v>#REF!</v>
      </c>
      <c r="BV6" t="e">
        <f>AND(Tareas!#REF!,"AAAAAHq580k=")</f>
        <v>#REF!</v>
      </c>
      <c r="BW6" t="e">
        <f>AND(Tareas!#REF!,"AAAAAHq580o=")</f>
        <v>#REF!</v>
      </c>
      <c r="BX6" t="e">
        <f>AND(Tareas!#REF!,"AAAAAHq580s=")</f>
        <v>#REF!</v>
      </c>
      <c r="BY6" t="e">
        <f>AND(Tareas!#REF!,"AAAAAHq580w=")</f>
        <v>#REF!</v>
      </c>
      <c r="BZ6" t="e">
        <f>IF(Tareas!#REF!,"AAAAAHq5800=",0)</f>
        <v>#REF!</v>
      </c>
      <c r="CA6" t="e">
        <f>AND(Tareas!#REF!,"AAAAAHq5804=")</f>
        <v>#REF!</v>
      </c>
      <c r="CB6" t="e">
        <f>AND(Tareas!#REF!,"AAAAAHq5808=")</f>
        <v>#REF!</v>
      </c>
      <c r="CC6" t="e">
        <f>AND(Tareas!#REF!,"AAAAAHq581A=")</f>
        <v>#REF!</v>
      </c>
      <c r="CD6" t="e">
        <f>AND(Tareas!#REF!,"AAAAAHq581E=")</f>
        <v>#REF!</v>
      </c>
      <c r="CE6" t="e">
        <f>AND(Tareas!#REF!,"AAAAAHq581I=")</f>
        <v>#REF!</v>
      </c>
      <c r="CF6" t="e">
        <f>AND(Tareas!#REF!,"AAAAAHq581M=")</f>
        <v>#REF!</v>
      </c>
      <c r="CG6" t="e">
        <f>AND(Tareas!#REF!,"AAAAAHq581Q=")</f>
        <v>#REF!</v>
      </c>
      <c r="CH6" t="e">
        <f>AND(Tareas!#REF!,"AAAAAHq581U=")</f>
        <v>#REF!</v>
      </c>
      <c r="CI6" t="e">
        <f>AND(Tareas!#REF!,"AAAAAHq581Y=")</f>
        <v>#REF!</v>
      </c>
      <c r="CJ6" t="e">
        <f>AND(Tareas!#REF!,"AAAAAHq581c=")</f>
        <v>#REF!</v>
      </c>
      <c r="CK6" t="e">
        <f>AND(Tareas!#REF!,"AAAAAHq581g=")</f>
        <v>#REF!</v>
      </c>
      <c r="CL6" t="e">
        <f>AND(Tareas!#REF!,"AAAAAHq581k=")</f>
        <v>#REF!</v>
      </c>
      <c r="CM6" t="e">
        <f>AND(Tareas!#REF!,"AAAAAHq581o=")</f>
        <v>#REF!</v>
      </c>
      <c r="CN6" t="e">
        <f>AND(Tareas!#REF!,"AAAAAHq581s=")</f>
        <v>#REF!</v>
      </c>
      <c r="CO6" t="e">
        <f>AND(Tareas!#REF!,"AAAAAHq581w=")</f>
        <v>#REF!</v>
      </c>
      <c r="CP6" t="e">
        <f>AND(Tareas!#REF!,"AAAAAHq5810=")</f>
        <v>#REF!</v>
      </c>
      <c r="CQ6" t="e">
        <f>AND(Tareas!#REF!,"AAAAAHq5814=")</f>
        <v>#REF!</v>
      </c>
      <c r="CR6" t="e">
        <f>AND(Tareas!#REF!,"AAAAAHq5818=")</f>
        <v>#REF!</v>
      </c>
      <c r="CS6" t="e">
        <f>AND(Tareas!#REF!,"AAAAAHq582A=")</f>
        <v>#REF!</v>
      </c>
      <c r="CT6" t="e">
        <f>AND(Tareas!#REF!,"AAAAAHq582E=")</f>
        <v>#REF!</v>
      </c>
      <c r="CU6" t="e">
        <f>AND(Tareas!#REF!,"AAAAAHq582I=")</f>
        <v>#REF!</v>
      </c>
      <c r="CV6" t="e">
        <f>IF(Tareas!#REF!,"AAAAAHq582M=",0)</f>
        <v>#REF!</v>
      </c>
      <c r="CW6" t="e">
        <f>AND(Tareas!#REF!,"AAAAAHq582Q=")</f>
        <v>#REF!</v>
      </c>
      <c r="CX6" t="e">
        <f>AND(Tareas!#REF!,"AAAAAHq582U=")</f>
        <v>#REF!</v>
      </c>
      <c r="CY6" t="e">
        <f>AND(Tareas!#REF!,"AAAAAHq582Y=")</f>
        <v>#REF!</v>
      </c>
      <c r="CZ6" t="e">
        <f>AND(Tareas!#REF!,"AAAAAHq582c=")</f>
        <v>#REF!</v>
      </c>
      <c r="DA6" t="e">
        <f>AND(Tareas!#REF!,"AAAAAHq582g=")</f>
        <v>#REF!</v>
      </c>
      <c r="DB6" t="e">
        <f>AND(Tareas!#REF!,"AAAAAHq582k=")</f>
        <v>#REF!</v>
      </c>
      <c r="DC6" t="e">
        <f>AND(Tareas!#REF!,"AAAAAHq582o=")</f>
        <v>#REF!</v>
      </c>
      <c r="DD6" t="e">
        <f>AND(Tareas!#REF!,"AAAAAHq582s=")</f>
        <v>#REF!</v>
      </c>
      <c r="DE6" t="e">
        <f>AND(Tareas!#REF!,"AAAAAHq582w=")</f>
        <v>#REF!</v>
      </c>
      <c r="DF6" t="e">
        <f>AND(Tareas!#REF!,"AAAAAHq5820=")</f>
        <v>#REF!</v>
      </c>
      <c r="DG6" t="e">
        <f>AND(Tareas!#REF!,"AAAAAHq5824=")</f>
        <v>#REF!</v>
      </c>
      <c r="DH6" t="e">
        <f>AND(Tareas!#REF!,"AAAAAHq5828=")</f>
        <v>#REF!</v>
      </c>
      <c r="DI6" t="e">
        <f>AND(Tareas!#REF!,"AAAAAHq583A=")</f>
        <v>#REF!</v>
      </c>
      <c r="DJ6" t="e">
        <f>AND(Tareas!#REF!,"AAAAAHq583E=")</f>
        <v>#REF!</v>
      </c>
      <c r="DK6" t="e">
        <f>AND(Tareas!#REF!,"AAAAAHq583I=")</f>
        <v>#REF!</v>
      </c>
      <c r="DL6" t="e">
        <f>AND(Tareas!#REF!,"AAAAAHq583M=")</f>
        <v>#REF!</v>
      </c>
      <c r="DM6" t="e">
        <f>AND(Tareas!#REF!,"AAAAAHq583Q=")</f>
        <v>#REF!</v>
      </c>
      <c r="DN6" t="e">
        <f>AND(Tareas!#REF!,"AAAAAHq583U=")</f>
        <v>#REF!</v>
      </c>
      <c r="DO6" t="e">
        <f>AND(Tareas!#REF!,"AAAAAHq583Y=")</f>
        <v>#REF!</v>
      </c>
      <c r="DP6" t="e">
        <f>AND(Tareas!#REF!,"AAAAAHq583c=")</f>
        <v>#REF!</v>
      </c>
      <c r="DQ6" t="e">
        <f>AND(Tareas!#REF!,"AAAAAHq583g=")</f>
        <v>#REF!</v>
      </c>
      <c r="DR6" t="e">
        <f>IF(Tareas!#REF!,"AAAAAHq583k=",0)</f>
        <v>#REF!</v>
      </c>
      <c r="DS6" t="e">
        <f>AND(Tareas!#REF!,"AAAAAHq583o=")</f>
        <v>#REF!</v>
      </c>
      <c r="DT6" t="e">
        <f>AND(Tareas!#REF!,"AAAAAHq583s=")</f>
        <v>#REF!</v>
      </c>
      <c r="DU6" t="e">
        <f>AND(Tareas!#REF!,"AAAAAHq583w=")</f>
        <v>#REF!</v>
      </c>
      <c r="DV6" t="e">
        <f>AND(Tareas!#REF!,"AAAAAHq5830=")</f>
        <v>#REF!</v>
      </c>
      <c r="DW6" t="e">
        <f>AND(Tareas!#REF!,"AAAAAHq5834=")</f>
        <v>#REF!</v>
      </c>
      <c r="DX6" t="e">
        <f>AND(Tareas!#REF!,"AAAAAHq5838=")</f>
        <v>#REF!</v>
      </c>
      <c r="DY6" t="e">
        <f>AND(Tareas!#REF!,"AAAAAHq584A=")</f>
        <v>#REF!</v>
      </c>
      <c r="DZ6" t="e">
        <f>AND(Tareas!#REF!,"AAAAAHq584E=")</f>
        <v>#REF!</v>
      </c>
      <c r="EA6" t="e">
        <f>AND(Tareas!#REF!,"AAAAAHq584I=")</f>
        <v>#REF!</v>
      </c>
      <c r="EB6" t="e">
        <f>AND(Tareas!#REF!,"AAAAAHq584M=")</f>
        <v>#REF!</v>
      </c>
      <c r="EC6" t="e">
        <f>AND(Tareas!#REF!,"AAAAAHq584Q=")</f>
        <v>#REF!</v>
      </c>
      <c r="ED6" t="e">
        <f>AND(Tareas!#REF!,"AAAAAHq584U=")</f>
        <v>#REF!</v>
      </c>
      <c r="EE6" t="e">
        <f>AND(Tareas!#REF!,"AAAAAHq584Y=")</f>
        <v>#REF!</v>
      </c>
      <c r="EF6" t="e">
        <f>AND(Tareas!#REF!,"AAAAAHq584c=")</f>
        <v>#REF!</v>
      </c>
      <c r="EG6" t="e">
        <f>AND(Tareas!#REF!,"AAAAAHq584g=")</f>
        <v>#REF!</v>
      </c>
      <c r="EH6" t="e">
        <f>AND(Tareas!#REF!,"AAAAAHq584k=")</f>
        <v>#REF!</v>
      </c>
      <c r="EI6" t="e">
        <f>AND(Tareas!#REF!,"AAAAAHq584o=")</f>
        <v>#REF!</v>
      </c>
      <c r="EJ6" t="e">
        <f>AND(Tareas!#REF!,"AAAAAHq584s=")</f>
        <v>#REF!</v>
      </c>
      <c r="EK6" t="e">
        <f>AND(Tareas!#REF!,"AAAAAHq584w=")</f>
        <v>#REF!</v>
      </c>
      <c r="EL6" t="e">
        <f>AND(Tareas!#REF!,"AAAAAHq5840=")</f>
        <v>#REF!</v>
      </c>
      <c r="EM6" t="e">
        <f>AND(Tareas!#REF!,"AAAAAHq5844=")</f>
        <v>#REF!</v>
      </c>
      <c r="EN6" t="e">
        <f>IF(Tareas!#REF!,"AAAAAHq5848=",0)</f>
        <v>#REF!</v>
      </c>
      <c r="EO6" t="e">
        <f>AND(Tareas!#REF!,"AAAAAHq585A=")</f>
        <v>#REF!</v>
      </c>
      <c r="EP6" t="e">
        <f>AND(Tareas!#REF!,"AAAAAHq585E=")</f>
        <v>#REF!</v>
      </c>
      <c r="EQ6" t="e">
        <f>AND(Tareas!#REF!,"AAAAAHq585I=")</f>
        <v>#REF!</v>
      </c>
      <c r="ER6" t="e">
        <f>AND(Tareas!#REF!,"AAAAAHq585M=")</f>
        <v>#REF!</v>
      </c>
      <c r="ES6" t="e">
        <f>AND(Tareas!#REF!,"AAAAAHq585Q=")</f>
        <v>#REF!</v>
      </c>
      <c r="ET6" t="e">
        <f>AND(Tareas!#REF!,"AAAAAHq585U=")</f>
        <v>#REF!</v>
      </c>
      <c r="EU6" t="e">
        <f>AND(Tareas!#REF!,"AAAAAHq585Y=")</f>
        <v>#REF!</v>
      </c>
      <c r="EV6" t="e">
        <f>AND(Tareas!#REF!,"AAAAAHq585c=")</f>
        <v>#REF!</v>
      </c>
      <c r="EW6" t="e">
        <f>AND(Tareas!#REF!,"AAAAAHq585g=")</f>
        <v>#REF!</v>
      </c>
      <c r="EX6" t="e">
        <f>AND(Tareas!#REF!,"AAAAAHq585k=")</f>
        <v>#REF!</v>
      </c>
      <c r="EY6" t="e">
        <f>AND(Tareas!#REF!,"AAAAAHq585o=")</f>
        <v>#REF!</v>
      </c>
      <c r="EZ6" t="e">
        <f>AND(Tareas!#REF!,"AAAAAHq585s=")</f>
        <v>#REF!</v>
      </c>
      <c r="FA6" t="e">
        <f>AND(Tareas!#REF!,"AAAAAHq585w=")</f>
        <v>#REF!</v>
      </c>
      <c r="FB6" t="e">
        <f>AND(Tareas!#REF!,"AAAAAHq5850=")</f>
        <v>#REF!</v>
      </c>
      <c r="FC6" t="e">
        <f>AND(Tareas!#REF!,"AAAAAHq5854=")</f>
        <v>#REF!</v>
      </c>
      <c r="FD6" t="e">
        <f>AND(Tareas!#REF!,"AAAAAHq5858=")</f>
        <v>#REF!</v>
      </c>
      <c r="FE6" t="e">
        <f>AND(Tareas!#REF!,"AAAAAHq586A=")</f>
        <v>#REF!</v>
      </c>
      <c r="FF6" t="e">
        <f>AND(Tareas!#REF!,"AAAAAHq586E=")</f>
        <v>#REF!</v>
      </c>
      <c r="FG6" t="e">
        <f>AND(Tareas!#REF!,"AAAAAHq586I=")</f>
        <v>#REF!</v>
      </c>
      <c r="FH6" t="e">
        <f>AND(Tareas!#REF!,"AAAAAHq586M=")</f>
        <v>#REF!</v>
      </c>
      <c r="FI6" t="e">
        <f>AND(Tareas!#REF!,"AAAAAHq586Q=")</f>
        <v>#REF!</v>
      </c>
      <c r="FJ6" t="e">
        <f>IF(Tareas!#REF!,"AAAAAHq586U=",0)</f>
        <v>#REF!</v>
      </c>
      <c r="FK6" t="e">
        <f>AND(Tareas!#REF!,"AAAAAHq586Y=")</f>
        <v>#REF!</v>
      </c>
      <c r="FL6" t="e">
        <f>AND(Tareas!#REF!,"AAAAAHq586c=")</f>
        <v>#REF!</v>
      </c>
      <c r="FM6" t="e">
        <f>AND(Tareas!#REF!,"AAAAAHq586g=")</f>
        <v>#REF!</v>
      </c>
      <c r="FN6" t="e">
        <f>AND(Tareas!#REF!,"AAAAAHq586k=")</f>
        <v>#REF!</v>
      </c>
      <c r="FO6" t="e">
        <f>AND(Tareas!#REF!,"AAAAAHq586o=")</f>
        <v>#REF!</v>
      </c>
      <c r="FP6" t="e">
        <f>AND(Tareas!#REF!,"AAAAAHq586s=")</f>
        <v>#REF!</v>
      </c>
      <c r="FQ6" t="e">
        <f>AND(Tareas!#REF!,"AAAAAHq586w=")</f>
        <v>#REF!</v>
      </c>
      <c r="FR6" t="e">
        <f>AND(Tareas!#REF!,"AAAAAHq5860=")</f>
        <v>#REF!</v>
      </c>
      <c r="FS6" t="e">
        <f>AND(Tareas!#REF!,"AAAAAHq5864=")</f>
        <v>#REF!</v>
      </c>
      <c r="FT6" t="e">
        <f>AND(Tareas!#REF!,"AAAAAHq5868=")</f>
        <v>#REF!</v>
      </c>
      <c r="FU6" t="e">
        <f>AND(Tareas!#REF!,"AAAAAHq587A=")</f>
        <v>#REF!</v>
      </c>
      <c r="FV6" t="e">
        <f>AND(Tareas!#REF!,"AAAAAHq587E=")</f>
        <v>#REF!</v>
      </c>
      <c r="FW6" t="e">
        <f>AND(Tareas!#REF!,"AAAAAHq587I=")</f>
        <v>#REF!</v>
      </c>
      <c r="FX6" t="e">
        <f>AND(Tareas!#REF!,"AAAAAHq587M=")</f>
        <v>#REF!</v>
      </c>
      <c r="FY6" t="e">
        <f>AND(Tareas!#REF!,"AAAAAHq587Q=")</f>
        <v>#REF!</v>
      </c>
      <c r="FZ6" t="e">
        <f>AND(Tareas!#REF!,"AAAAAHq587U=")</f>
        <v>#REF!</v>
      </c>
      <c r="GA6" t="e">
        <f>AND(Tareas!#REF!,"AAAAAHq587Y=")</f>
        <v>#REF!</v>
      </c>
      <c r="GB6" t="e">
        <f>AND(Tareas!#REF!,"AAAAAHq587c=")</f>
        <v>#REF!</v>
      </c>
      <c r="GC6" t="e">
        <f>AND(Tareas!#REF!,"AAAAAHq587g=")</f>
        <v>#REF!</v>
      </c>
      <c r="GD6" t="e">
        <f>AND(Tareas!#REF!,"AAAAAHq587k=")</f>
        <v>#REF!</v>
      </c>
      <c r="GE6" t="e">
        <f>AND(Tareas!#REF!,"AAAAAHq587o=")</f>
        <v>#REF!</v>
      </c>
      <c r="GF6" t="e">
        <f>IF(Tareas!#REF!,"AAAAAHq587s=",0)</f>
        <v>#REF!</v>
      </c>
      <c r="GG6" t="e">
        <f>AND(Tareas!#REF!,"AAAAAHq587w=")</f>
        <v>#REF!</v>
      </c>
      <c r="GH6" t="e">
        <f>AND(Tareas!#REF!,"AAAAAHq5870=")</f>
        <v>#REF!</v>
      </c>
      <c r="GI6" t="e">
        <f>AND(Tareas!#REF!,"AAAAAHq5874=")</f>
        <v>#REF!</v>
      </c>
      <c r="GJ6" t="e">
        <f>AND(Tareas!#REF!,"AAAAAHq5878=")</f>
        <v>#REF!</v>
      </c>
      <c r="GK6" t="e">
        <f>AND(Tareas!#REF!,"AAAAAHq588A=")</f>
        <v>#REF!</v>
      </c>
      <c r="GL6" t="e">
        <f>AND(Tareas!#REF!,"AAAAAHq588E=")</f>
        <v>#REF!</v>
      </c>
      <c r="GM6" t="e">
        <f>AND(Tareas!#REF!,"AAAAAHq588I=")</f>
        <v>#REF!</v>
      </c>
      <c r="GN6" t="e">
        <f>AND(Tareas!#REF!,"AAAAAHq588M=")</f>
        <v>#REF!</v>
      </c>
      <c r="GO6" t="e">
        <f>AND(Tareas!#REF!,"AAAAAHq588Q=")</f>
        <v>#REF!</v>
      </c>
      <c r="GP6" t="e">
        <f>AND(Tareas!#REF!,"AAAAAHq588U=")</f>
        <v>#REF!</v>
      </c>
      <c r="GQ6" t="e">
        <f>AND(Tareas!#REF!,"AAAAAHq588Y=")</f>
        <v>#REF!</v>
      </c>
      <c r="GR6" t="e">
        <f>AND(Tareas!#REF!,"AAAAAHq588c=")</f>
        <v>#REF!</v>
      </c>
      <c r="GS6" t="e">
        <f>AND(Tareas!#REF!,"AAAAAHq588g=")</f>
        <v>#REF!</v>
      </c>
      <c r="GT6" t="e">
        <f>AND(Tareas!#REF!,"AAAAAHq588k=")</f>
        <v>#REF!</v>
      </c>
      <c r="GU6" t="e">
        <f>AND(Tareas!#REF!,"AAAAAHq588o=")</f>
        <v>#REF!</v>
      </c>
      <c r="GV6" t="e">
        <f>AND(Tareas!#REF!,"AAAAAHq588s=")</f>
        <v>#REF!</v>
      </c>
      <c r="GW6" t="e">
        <f>AND(Tareas!#REF!,"AAAAAHq588w=")</f>
        <v>#REF!</v>
      </c>
      <c r="GX6" t="e">
        <f>AND(Tareas!#REF!,"AAAAAHq5880=")</f>
        <v>#REF!</v>
      </c>
      <c r="GY6" t="e">
        <f>AND(Tareas!#REF!,"AAAAAHq5884=")</f>
        <v>#REF!</v>
      </c>
      <c r="GZ6" t="e">
        <f>AND(Tareas!#REF!,"AAAAAHq5888=")</f>
        <v>#REF!</v>
      </c>
      <c r="HA6" t="e">
        <f>AND(Tareas!#REF!,"AAAAAHq589A=")</f>
        <v>#REF!</v>
      </c>
      <c r="HB6" t="e">
        <f>IF(Tareas!A:A,"AAAAAHq589E=",0)</f>
        <v>#VALUE!</v>
      </c>
      <c r="HC6" t="e">
        <f>IF(Tareas!#REF!,"AAAAAHq589I=",0)</f>
        <v>#REF!</v>
      </c>
      <c r="HD6" t="str">
        <f>IF(Tareas!B:B,"AAAAAHq589M=",0)</f>
        <v>AAAAAHq589M=</v>
      </c>
      <c r="HE6" t="str">
        <f>IF(Tareas!C:C,"AAAAAHq589Q=",0)</f>
        <v>AAAAAHq589Q=</v>
      </c>
      <c r="HF6" t="str">
        <f>IF(Tareas!D:D,"AAAAAHq589U=",0)</f>
        <v>AAAAAHq589U=</v>
      </c>
      <c r="HG6" t="str">
        <f>IF(Tareas!E:E,"AAAAAHq589Y=",0)</f>
        <v>AAAAAHq589Y=</v>
      </c>
      <c r="HH6" t="str">
        <f>IF(Tareas!F:F,"AAAAAHq589c=",0)</f>
        <v>AAAAAHq589c=</v>
      </c>
      <c r="HI6" t="str">
        <f>IF(Tareas!G:G,"AAAAAHq589g=",0)</f>
        <v>AAAAAHq589g=</v>
      </c>
      <c r="HJ6" t="str">
        <f>IF(Tareas!H:H,"AAAAAHq589k=",0)</f>
        <v>AAAAAHq589k=</v>
      </c>
      <c r="HK6" t="str">
        <f>IF(Tareas!I:I,"AAAAAHq589o=",0)</f>
        <v>AAAAAHq589o=</v>
      </c>
      <c r="HL6" t="str">
        <f>IF(Tareas!J:J,"AAAAAHq589s=",0)</f>
        <v>AAAAAHq589s=</v>
      </c>
      <c r="HM6" t="str">
        <f>IF(Tareas!K:K,"AAAAAHq589w=",0)</f>
        <v>AAAAAHq589w=</v>
      </c>
      <c r="HN6" t="str">
        <f>IF(Tareas!L:L,"AAAAAHq5890=",0)</f>
        <v>AAAAAHq5890=</v>
      </c>
      <c r="HO6" t="str">
        <f>IF(Tareas!M:M,"AAAAAHq5894=",0)</f>
        <v>AAAAAHq5894=</v>
      </c>
      <c r="HP6" t="str">
        <f>IF(Tareas!N:N,"AAAAAHq5898=",0)</f>
        <v>AAAAAHq5898=</v>
      </c>
      <c r="HQ6" t="str">
        <f>IF(Tareas!O:O,"AAAAAHq58+A=",0)</f>
        <v>AAAAAHq58+A=</v>
      </c>
      <c r="HR6" t="str">
        <f>IF(Tareas!P:P,"AAAAAHq58+E=",0)</f>
        <v>AAAAAHq58+E=</v>
      </c>
      <c r="HS6" t="str">
        <f>IF(Tareas!Q:Q,"AAAAAHq58+I=",0)</f>
        <v>AAAAAHq58+I=</v>
      </c>
      <c r="HT6" t="str">
        <f>IF(Tareas!R:R,"AAAAAHq58+M=",0)</f>
        <v>AAAAAHq58+M=</v>
      </c>
      <c r="HU6" t="str">
        <f>IF(Tareas!S:S,"AAAAAHq58+Q=",0)</f>
        <v>AAAAAHq58+Q=</v>
      </c>
      <c r="HV6" t="str">
        <f>IF(Tareas!T:T,"AAAAAHq58+U=",0)</f>
        <v>AAAAAHq58+U=</v>
      </c>
      <c r="HW6">
        <f>IF(Investigación!1:1,"AAAAAHq58+Y=",0)</f>
        <v>0</v>
      </c>
      <c r="HX6" t="e">
        <f>AND(Investigación!A1,"AAAAAHq58+c=")</f>
        <v>#VALUE!</v>
      </c>
      <c r="HY6" t="e">
        <f>AND(Investigación!#REF!,"AAAAAHq58+g=")</f>
        <v>#REF!</v>
      </c>
      <c r="HZ6" t="e">
        <f>AND(Investigación!B1,"AAAAAHq58+k=")</f>
        <v>#VALUE!</v>
      </c>
      <c r="IA6" t="e">
        <f>AND(Investigación!C1,"AAAAAHq58+o=")</f>
        <v>#VALUE!</v>
      </c>
      <c r="IB6" t="e">
        <f>AND(Investigación!D1,"AAAAAHq58+s=")</f>
        <v>#VALUE!</v>
      </c>
      <c r="IC6" t="e">
        <f>AND(Investigación!E1,"AAAAAHq58+w=")</f>
        <v>#VALUE!</v>
      </c>
      <c r="ID6">
        <f>IF(Investigación!2:2,"AAAAAHq58+0=",0)</f>
        <v>0</v>
      </c>
      <c r="IE6" t="e">
        <f>AND(Investigación!A2,"AAAAAHq58+4=")</f>
        <v>#VALUE!</v>
      </c>
      <c r="IF6" t="e">
        <f>AND(Investigación!#REF!,"AAAAAHq58+8=")</f>
        <v>#REF!</v>
      </c>
      <c r="IG6" t="e">
        <f>AND(Investigación!B2,"AAAAAHq58/A=")</f>
        <v>#VALUE!</v>
      </c>
      <c r="IH6" t="e">
        <f>AND(Investigación!C2,"AAAAAHq58/E=")</f>
        <v>#VALUE!</v>
      </c>
      <c r="II6" t="e">
        <f>AND(Investigación!D2,"AAAAAHq58/I=")</f>
        <v>#VALUE!</v>
      </c>
      <c r="IJ6" t="e">
        <f>AND(Investigación!E2,"AAAAAHq58/M=")</f>
        <v>#VALUE!</v>
      </c>
      <c r="IK6" t="e">
        <f>IF(Investigación!#REF!,"AAAAAHq58/Q=",0)</f>
        <v>#REF!</v>
      </c>
      <c r="IL6" t="e">
        <f>AND(Investigación!#REF!,"AAAAAHq58/U=")</f>
        <v>#REF!</v>
      </c>
      <c r="IM6" t="e">
        <f>AND(Investigación!#REF!,"AAAAAHq58/Y=")</f>
        <v>#REF!</v>
      </c>
      <c r="IN6" t="e">
        <f>AND(Investigación!#REF!,"AAAAAHq58/c=")</f>
        <v>#REF!</v>
      </c>
      <c r="IO6" t="e">
        <f>AND(Investigación!#REF!,"AAAAAHq58/g=")</f>
        <v>#REF!</v>
      </c>
      <c r="IP6" t="e">
        <f>AND(Investigación!#REF!,"AAAAAHq58/k=")</f>
        <v>#REF!</v>
      </c>
      <c r="IQ6" t="e">
        <f>AND(Investigación!#REF!,"AAAAAHq58/o=")</f>
        <v>#REF!</v>
      </c>
      <c r="IR6" t="e">
        <f>IF(Investigación!#REF!,"AAAAAHq58/s=",0)</f>
        <v>#REF!</v>
      </c>
      <c r="IS6" t="e">
        <f>AND(Investigación!#REF!,"AAAAAHq58/w=")</f>
        <v>#REF!</v>
      </c>
      <c r="IT6" t="e">
        <f>AND(Investigación!#REF!,"AAAAAHq58/0=")</f>
        <v>#REF!</v>
      </c>
      <c r="IU6" t="e">
        <f>AND(Investigación!#REF!,"AAAAAHq58/4=")</f>
        <v>#REF!</v>
      </c>
      <c r="IV6" t="e">
        <f>AND(Investigación!#REF!,"AAAAAHq58/8=")</f>
        <v>#REF!</v>
      </c>
    </row>
    <row r="7" spans="1:256" x14ac:dyDescent="0.35">
      <c r="A7" t="e">
        <f>AND(Investigación!#REF!,"AAAAAH///QA=")</f>
        <v>#REF!</v>
      </c>
      <c r="B7" t="e">
        <f>AND(Investigación!#REF!,"AAAAAH///QE=")</f>
        <v>#REF!</v>
      </c>
      <c r="C7" t="e">
        <f>IF(Investigación!#REF!,"AAAAAH///QI=",0)</f>
        <v>#REF!</v>
      </c>
      <c r="D7" t="e">
        <f>AND(Investigación!#REF!,"AAAAAH///QM=")</f>
        <v>#REF!</v>
      </c>
      <c r="E7" t="e">
        <f>AND(Investigación!#REF!,"AAAAAH///QQ=")</f>
        <v>#REF!</v>
      </c>
      <c r="F7" t="e">
        <f>AND(Investigación!#REF!,"AAAAAH///QU=")</f>
        <v>#REF!</v>
      </c>
      <c r="G7" t="e">
        <f>AND(Investigación!#REF!,"AAAAAH///QY=")</f>
        <v>#REF!</v>
      </c>
      <c r="H7" t="e">
        <f>AND(Investigación!#REF!,"AAAAAH///Qc=")</f>
        <v>#REF!</v>
      </c>
      <c r="I7" t="e">
        <f>AND(Investigación!#REF!,"AAAAAH///Qg=")</f>
        <v>#REF!</v>
      </c>
      <c r="J7">
        <f>IF(Investigación!3:3,"AAAAAH///Qk=",0)</f>
        <v>0</v>
      </c>
      <c r="K7" t="e">
        <f>AND(Investigación!A3,"AAAAAH///Qo=")</f>
        <v>#VALUE!</v>
      </c>
      <c r="L7" t="e">
        <f>AND(Investigación!#REF!,"AAAAAH///Qs=")</f>
        <v>#REF!</v>
      </c>
      <c r="M7" t="e">
        <f>AND(Investigación!B3,"AAAAAH///Qw=")</f>
        <v>#VALUE!</v>
      </c>
      <c r="N7" t="e">
        <f>AND(Investigación!C3,"AAAAAH///Q0=")</f>
        <v>#VALUE!</v>
      </c>
      <c r="O7" t="e">
        <f>AND(Investigación!D3,"AAAAAH///Q4=")</f>
        <v>#VALUE!</v>
      </c>
      <c r="P7" t="e">
        <f>AND(Investigación!E3,"AAAAAH///Q8=")</f>
        <v>#VALUE!</v>
      </c>
      <c r="Q7">
        <f>IF(Investigación!4:4,"AAAAAH///RA=",0)</f>
        <v>0</v>
      </c>
      <c r="R7" t="e">
        <f>AND(Investigación!A4,"AAAAAH///RE=")</f>
        <v>#VALUE!</v>
      </c>
      <c r="S7" t="e">
        <f>AND(Investigación!#REF!,"AAAAAH///RI=")</f>
        <v>#REF!</v>
      </c>
      <c r="T7" t="e">
        <f>AND(Investigación!B4,"AAAAAH///RM=")</f>
        <v>#VALUE!</v>
      </c>
      <c r="U7" t="e">
        <f>AND(Investigación!C4,"AAAAAH///RQ=")</f>
        <v>#VALUE!</v>
      </c>
      <c r="V7" t="e">
        <f>AND(Investigación!D4,"AAAAAH///RU=")</f>
        <v>#VALUE!</v>
      </c>
      <c r="W7" t="e">
        <f>AND(Investigación!E4,"AAAAAH///RY=")</f>
        <v>#VALUE!</v>
      </c>
      <c r="X7">
        <f>IF(Investigación!5:5,"AAAAAH///Rc=",0)</f>
        <v>0</v>
      </c>
      <c r="Y7" t="e">
        <f>AND(Investigación!A5,"AAAAAH///Rg=")</f>
        <v>#VALUE!</v>
      </c>
      <c r="Z7" t="e">
        <f>AND(Investigación!#REF!,"AAAAAH///Rk=")</f>
        <v>#REF!</v>
      </c>
      <c r="AA7" t="e">
        <f>AND(Investigación!B5,"AAAAAH///Ro=")</f>
        <v>#VALUE!</v>
      </c>
      <c r="AB7" t="e">
        <f>AND(Investigación!C5,"AAAAAH///Rs=")</f>
        <v>#VALUE!</v>
      </c>
      <c r="AC7" t="e">
        <f>AND(Investigación!D5,"AAAAAH///Rw=")</f>
        <v>#VALUE!</v>
      </c>
      <c r="AD7" t="e">
        <f>AND(Investigación!E5,"AAAAAH///R0=")</f>
        <v>#VALUE!</v>
      </c>
      <c r="AE7">
        <f>IF(Investigación!6:6,"AAAAAH///R4=",0)</f>
        <v>0</v>
      </c>
      <c r="AF7" t="e">
        <f>AND(Investigación!A6,"AAAAAH///R8=")</f>
        <v>#VALUE!</v>
      </c>
      <c r="AG7" t="e">
        <f>AND(Investigación!#REF!,"AAAAAH///SA=")</f>
        <v>#REF!</v>
      </c>
      <c r="AH7" t="e">
        <f>AND(Investigación!B6,"AAAAAH///SE=")</f>
        <v>#VALUE!</v>
      </c>
      <c r="AI7" t="e">
        <f>AND(Investigación!C6,"AAAAAH///SI=")</f>
        <v>#VALUE!</v>
      </c>
      <c r="AJ7" t="e">
        <f>AND(Investigación!D6,"AAAAAH///SM=")</f>
        <v>#VALUE!</v>
      </c>
      <c r="AK7" t="e">
        <f>AND(Investigación!E6,"AAAAAH///SQ=")</f>
        <v>#VALUE!</v>
      </c>
      <c r="AL7" t="e">
        <f>IF(Investigación!#REF!,"AAAAAH///SU=",0)</f>
        <v>#REF!</v>
      </c>
      <c r="AM7" t="e">
        <f>AND(Investigación!#REF!,"AAAAAH///SY=")</f>
        <v>#REF!</v>
      </c>
      <c r="AN7" t="e">
        <f>AND(Investigación!#REF!,"AAAAAH///Sc=")</f>
        <v>#REF!</v>
      </c>
      <c r="AO7" t="e">
        <f>AND(Investigación!#REF!,"AAAAAH///Sg=")</f>
        <v>#REF!</v>
      </c>
      <c r="AP7" t="e">
        <f>AND(Investigación!#REF!,"AAAAAH///Sk=")</f>
        <v>#REF!</v>
      </c>
      <c r="AQ7" t="e">
        <f>AND(Investigación!#REF!,"AAAAAH///So=")</f>
        <v>#REF!</v>
      </c>
      <c r="AR7" t="e">
        <f>AND(Investigación!#REF!,"AAAAAH///Ss=")</f>
        <v>#REF!</v>
      </c>
      <c r="AS7">
        <f>IF(Investigación!7:7,"AAAAAH///Sw=",0)</f>
        <v>0</v>
      </c>
      <c r="AT7" t="e">
        <f>AND(Investigación!A7,"AAAAAH///S0=")</f>
        <v>#VALUE!</v>
      </c>
      <c r="AU7" t="e">
        <f>AND(Investigación!#REF!,"AAAAAH///S4=")</f>
        <v>#REF!</v>
      </c>
      <c r="AV7" t="e">
        <f>AND(Investigación!B7,"AAAAAH///S8=")</f>
        <v>#VALUE!</v>
      </c>
      <c r="AW7" t="e">
        <f>AND(Investigación!C7,"AAAAAH///TA=")</f>
        <v>#VALUE!</v>
      </c>
      <c r="AX7" t="e">
        <f>AND(Investigación!D7,"AAAAAH///TE=")</f>
        <v>#VALUE!</v>
      </c>
      <c r="AY7" t="e">
        <f>AND(Investigación!E7,"AAAAAH///TI=")</f>
        <v>#VALUE!</v>
      </c>
      <c r="AZ7" t="e">
        <f>IF(Investigación!#REF!,"AAAAAH///TM=",0)</f>
        <v>#REF!</v>
      </c>
      <c r="BA7" t="e">
        <f>AND(Investigación!#REF!,"AAAAAH///TQ=")</f>
        <v>#REF!</v>
      </c>
      <c r="BB7" t="e">
        <f>AND(Investigación!#REF!,"AAAAAH///TU=")</f>
        <v>#REF!</v>
      </c>
      <c r="BC7" t="e">
        <f>AND(Investigación!#REF!,"AAAAAH///TY=")</f>
        <v>#REF!</v>
      </c>
      <c r="BD7" t="e">
        <f>AND(Investigación!#REF!,"AAAAAH///Tc=")</f>
        <v>#REF!</v>
      </c>
      <c r="BE7" t="e">
        <f>AND(Investigación!#REF!,"AAAAAH///Tg=")</f>
        <v>#REF!</v>
      </c>
      <c r="BF7" t="e">
        <f>AND(Investigación!#REF!,"AAAAAH///Tk=")</f>
        <v>#REF!</v>
      </c>
      <c r="BG7">
        <f>IF(Investigación!8:8,"AAAAAH///To=",0)</f>
        <v>0</v>
      </c>
      <c r="BH7" t="e">
        <f>AND(Investigación!A8,"AAAAAH///Ts=")</f>
        <v>#VALUE!</v>
      </c>
      <c r="BI7" t="e">
        <f>AND(Investigación!#REF!,"AAAAAH///Tw=")</f>
        <v>#REF!</v>
      </c>
      <c r="BJ7" t="e">
        <f>AND(Investigación!B8,"AAAAAH///T0=")</f>
        <v>#VALUE!</v>
      </c>
      <c r="BK7" t="e">
        <f>AND(Investigación!C8,"AAAAAH///T4=")</f>
        <v>#VALUE!</v>
      </c>
      <c r="BL7" t="e">
        <f>AND(Investigación!D8,"AAAAAH///T8=")</f>
        <v>#VALUE!</v>
      </c>
      <c r="BM7" t="e">
        <f>AND(Investigación!E8,"AAAAAH///UA=")</f>
        <v>#VALUE!</v>
      </c>
      <c r="BN7">
        <f>IF(Investigación!9:9,"AAAAAH///UE=",0)</f>
        <v>0</v>
      </c>
      <c r="BO7" t="e">
        <f>AND(Investigación!A9,"AAAAAH///UI=")</f>
        <v>#VALUE!</v>
      </c>
      <c r="BP7" t="e">
        <f>AND(Investigación!#REF!,"AAAAAH///UM=")</f>
        <v>#REF!</v>
      </c>
      <c r="BQ7" t="e">
        <f>AND(Investigación!B9,"AAAAAH///UQ=")</f>
        <v>#VALUE!</v>
      </c>
      <c r="BR7" t="e">
        <f>AND(Investigación!C9,"AAAAAH///UU=")</f>
        <v>#VALUE!</v>
      </c>
      <c r="BS7" t="e">
        <f>AND(Investigación!D9,"AAAAAH///UY=")</f>
        <v>#VALUE!</v>
      </c>
      <c r="BT7" t="e">
        <f>AND(Investigación!E9,"AAAAAH///Uc=")</f>
        <v>#VALUE!</v>
      </c>
      <c r="BU7">
        <f>IF(Investigación!10:10,"AAAAAH///Ug=",0)</f>
        <v>0</v>
      </c>
      <c r="BV7" t="e">
        <f>AND(Investigación!A10,"AAAAAH///Uk=")</f>
        <v>#VALUE!</v>
      </c>
      <c r="BW7" t="e">
        <f>AND(Investigación!#REF!,"AAAAAH///Uo=")</f>
        <v>#REF!</v>
      </c>
      <c r="BX7" t="e">
        <f>AND(Investigación!B10,"AAAAAH///Us=")</f>
        <v>#VALUE!</v>
      </c>
      <c r="BY7" t="e">
        <f>AND(Investigación!C10,"AAAAAH///Uw=")</f>
        <v>#VALUE!</v>
      </c>
      <c r="BZ7" t="e">
        <f>AND(Investigación!D10,"AAAAAH///U0=")</f>
        <v>#VALUE!</v>
      </c>
      <c r="CA7" t="e">
        <f>AND(Investigación!E10,"AAAAAH///U4=")</f>
        <v>#VALUE!</v>
      </c>
      <c r="CB7">
        <f>IF(Investigación!11:11,"AAAAAH///U8=",0)</f>
        <v>0</v>
      </c>
      <c r="CC7" t="e">
        <f>AND(Investigación!A11,"AAAAAH///VA=")</f>
        <v>#VALUE!</v>
      </c>
      <c r="CD7" t="e">
        <f>AND(Investigación!#REF!,"AAAAAH///VE=")</f>
        <v>#REF!</v>
      </c>
      <c r="CE7" t="e">
        <f>AND(Investigación!B11,"AAAAAH///VI=")</f>
        <v>#VALUE!</v>
      </c>
      <c r="CF7" t="e">
        <f>AND(Investigación!C11,"AAAAAH///VM=")</f>
        <v>#VALUE!</v>
      </c>
      <c r="CG7" t="e">
        <f>AND(Investigación!D11,"AAAAAH///VQ=")</f>
        <v>#VALUE!</v>
      </c>
      <c r="CH7" t="e">
        <f>AND(Investigación!E11,"AAAAAH///VU=")</f>
        <v>#VALUE!</v>
      </c>
      <c r="CI7">
        <f>IF(Investigación!12:12,"AAAAAH///VY=",0)</f>
        <v>0</v>
      </c>
      <c r="CJ7" t="e">
        <f>AND(Investigación!A12,"AAAAAH///Vc=")</f>
        <v>#VALUE!</v>
      </c>
      <c r="CK7" t="e">
        <f>AND(Investigación!#REF!,"AAAAAH///Vg=")</f>
        <v>#REF!</v>
      </c>
      <c r="CL7" t="e">
        <f>AND(Investigación!B12,"AAAAAH///Vk=")</f>
        <v>#VALUE!</v>
      </c>
      <c r="CM7" t="e">
        <f>AND(Investigación!C12,"AAAAAH///Vo=")</f>
        <v>#VALUE!</v>
      </c>
      <c r="CN7" t="e">
        <f>AND(Investigación!D12,"AAAAAH///Vs=")</f>
        <v>#VALUE!</v>
      </c>
      <c r="CO7" t="e">
        <f>AND(Investigación!E12,"AAAAAH///Vw=")</f>
        <v>#VALUE!</v>
      </c>
      <c r="CP7">
        <f>IF(Investigación!13:13,"AAAAAH///V0=",0)</f>
        <v>0</v>
      </c>
      <c r="CQ7" t="e">
        <f>AND(Investigación!A13,"AAAAAH///V4=")</f>
        <v>#VALUE!</v>
      </c>
      <c r="CR7" t="e">
        <f>AND(Investigación!#REF!,"AAAAAH///V8=")</f>
        <v>#REF!</v>
      </c>
      <c r="CS7" t="e">
        <f>AND(Investigación!B13,"AAAAAH///WA=")</f>
        <v>#VALUE!</v>
      </c>
      <c r="CT7" t="e">
        <f>AND(Investigación!C13,"AAAAAH///WE=")</f>
        <v>#VALUE!</v>
      </c>
      <c r="CU7" t="e">
        <f>AND(Investigación!D13,"AAAAAH///WI=")</f>
        <v>#VALUE!</v>
      </c>
      <c r="CV7" t="e">
        <f>AND(Investigación!E13,"AAAAAH///WM=")</f>
        <v>#VALUE!</v>
      </c>
      <c r="CW7" t="e">
        <f>IF(Investigación!#REF!,"AAAAAH///WQ=",0)</f>
        <v>#REF!</v>
      </c>
      <c r="CX7" t="e">
        <f>AND(Investigación!#REF!,"AAAAAH///WU=")</f>
        <v>#REF!</v>
      </c>
      <c r="CY7" t="e">
        <f>AND(Investigación!#REF!,"AAAAAH///WY=")</f>
        <v>#REF!</v>
      </c>
      <c r="CZ7" t="e">
        <f>AND(Investigación!#REF!,"AAAAAH///Wc=")</f>
        <v>#REF!</v>
      </c>
      <c r="DA7" t="e">
        <f>AND(Investigación!#REF!,"AAAAAH///Wg=")</f>
        <v>#REF!</v>
      </c>
      <c r="DB7" t="e">
        <f>AND(Investigación!#REF!,"AAAAAH///Wk=")</f>
        <v>#REF!</v>
      </c>
      <c r="DC7" t="e">
        <f>AND(Investigación!#REF!,"AAAAAH///Wo=")</f>
        <v>#REF!</v>
      </c>
      <c r="DD7" t="e">
        <f>IF(Investigación!#REF!,"AAAAAH///Ws=",0)</f>
        <v>#REF!</v>
      </c>
      <c r="DE7" t="e">
        <f>AND(Investigación!#REF!,"AAAAAH///Ww=")</f>
        <v>#REF!</v>
      </c>
      <c r="DF7" t="e">
        <f>AND(Investigación!#REF!,"AAAAAH///W0=")</f>
        <v>#REF!</v>
      </c>
      <c r="DG7" t="e">
        <f>AND(Investigación!#REF!,"AAAAAH///W4=")</f>
        <v>#REF!</v>
      </c>
      <c r="DH7" t="e">
        <f>AND(Investigación!#REF!,"AAAAAH///W8=")</f>
        <v>#REF!</v>
      </c>
      <c r="DI7" t="e">
        <f>AND(Investigación!#REF!,"AAAAAH///XA=")</f>
        <v>#REF!</v>
      </c>
      <c r="DJ7" t="e">
        <f>AND(Investigación!#REF!,"AAAAAH///XE=")</f>
        <v>#REF!</v>
      </c>
      <c r="DK7" t="e">
        <f>IF(Investigación!#REF!,"AAAAAH///XI=",0)</f>
        <v>#REF!</v>
      </c>
      <c r="DL7" t="e">
        <f>AND(Investigación!#REF!,"AAAAAH///XM=")</f>
        <v>#REF!</v>
      </c>
      <c r="DM7" t="e">
        <f>AND(Investigación!#REF!,"AAAAAH///XQ=")</f>
        <v>#REF!</v>
      </c>
      <c r="DN7" t="e">
        <f>AND(Investigación!#REF!,"AAAAAH///XU=")</f>
        <v>#REF!</v>
      </c>
      <c r="DO7" t="e">
        <f>AND(Investigación!#REF!,"AAAAAH///XY=")</f>
        <v>#REF!</v>
      </c>
      <c r="DP7" t="e">
        <f>AND(Investigación!#REF!,"AAAAAH///Xc=")</f>
        <v>#REF!</v>
      </c>
      <c r="DQ7" t="e">
        <f>AND(Investigación!#REF!,"AAAAAH///Xg=")</f>
        <v>#REF!</v>
      </c>
      <c r="DR7" t="e">
        <f>IF(Investigación!#REF!,"AAAAAH///Xk=",0)</f>
        <v>#REF!</v>
      </c>
      <c r="DS7" t="e">
        <f>AND(Investigación!#REF!,"AAAAAH///Xo=")</f>
        <v>#REF!</v>
      </c>
      <c r="DT7" t="e">
        <f>AND(Investigación!#REF!,"AAAAAH///Xs=")</f>
        <v>#REF!</v>
      </c>
      <c r="DU7" t="e">
        <f>AND(Investigación!#REF!,"AAAAAH///Xw=")</f>
        <v>#REF!</v>
      </c>
      <c r="DV7" t="e">
        <f>AND(Investigación!#REF!,"AAAAAH///X0=")</f>
        <v>#REF!</v>
      </c>
      <c r="DW7" t="e">
        <f>AND(Investigación!#REF!,"AAAAAH///X4=")</f>
        <v>#REF!</v>
      </c>
      <c r="DX7" t="e">
        <f>AND(Investigación!#REF!,"AAAAAH///X8=")</f>
        <v>#REF!</v>
      </c>
      <c r="DY7" t="e">
        <f>IF(Investigación!#REF!,"AAAAAH///YA=",0)</f>
        <v>#REF!</v>
      </c>
      <c r="DZ7" t="e">
        <f>AND(Investigación!#REF!,"AAAAAH///YE=")</f>
        <v>#REF!</v>
      </c>
      <c r="EA7" t="e">
        <f>AND(Investigación!#REF!,"AAAAAH///YI=")</f>
        <v>#REF!</v>
      </c>
      <c r="EB7" t="e">
        <f>AND(Investigación!#REF!,"AAAAAH///YM=")</f>
        <v>#REF!</v>
      </c>
      <c r="EC7" t="e">
        <f>AND(Investigación!#REF!,"AAAAAH///YQ=")</f>
        <v>#REF!</v>
      </c>
      <c r="ED7" t="e">
        <f>AND(Investigación!#REF!,"AAAAAH///YU=")</f>
        <v>#REF!</v>
      </c>
      <c r="EE7" t="e">
        <f>AND(Investigación!#REF!,"AAAAAH///YY=")</f>
        <v>#REF!</v>
      </c>
      <c r="EF7" t="e">
        <f>IF(Investigación!#REF!,"AAAAAH///Yc=",0)</f>
        <v>#REF!</v>
      </c>
      <c r="EG7" t="e">
        <f>AND(Investigación!#REF!,"AAAAAH///Yg=")</f>
        <v>#REF!</v>
      </c>
      <c r="EH7" t="e">
        <f>AND(Investigación!#REF!,"AAAAAH///Yk=")</f>
        <v>#REF!</v>
      </c>
      <c r="EI7" t="e">
        <f>AND(Investigación!#REF!,"AAAAAH///Yo=")</f>
        <v>#REF!</v>
      </c>
      <c r="EJ7" t="e">
        <f>AND(Investigación!#REF!,"AAAAAH///Ys=")</f>
        <v>#REF!</v>
      </c>
      <c r="EK7" t="e">
        <f>AND(Investigación!#REF!,"AAAAAH///Yw=")</f>
        <v>#REF!</v>
      </c>
      <c r="EL7" t="e">
        <f>AND(Investigación!#REF!,"AAAAAH///Y0=")</f>
        <v>#REF!</v>
      </c>
      <c r="EM7" t="e">
        <f>IF(Investigación!#REF!,"AAAAAH///Y4=",0)</f>
        <v>#REF!</v>
      </c>
      <c r="EN7" t="e">
        <f>AND(Investigación!#REF!,"AAAAAH///Y8=")</f>
        <v>#REF!</v>
      </c>
      <c r="EO7" t="e">
        <f>AND(Investigación!#REF!,"AAAAAH///ZA=")</f>
        <v>#REF!</v>
      </c>
      <c r="EP7" t="e">
        <f>AND(Investigación!#REF!,"AAAAAH///ZE=")</f>
        <v>#REF!</v>
      </c>
      <c r="EQ7" t="e">
        <f>AND(Investigación!#REF!,"AAAAAH///ZI=")</f>
        <v>#REF!</v>
      </c>
      <c r="ER7" t="e">
        <f>AND(Investigación!#REF!,"AAAAAH///ZM=")</f>
        <v>#REF!</v>
      </c>
      <c r="ES7" t="e">
        <f>AND(Investigación!#REF!,"AAAAAH///ZQ=")</f>
        <v>#REF!</v>
      </c>
      <c r="ET7" t="e">
        <f>IF(Investigación!#REF!,"AAAAAH///ZU=",0)</f>
        <v>#REF!</v>
      </c>
      <c r="EU7" t="e">
        <f>AND(Investigación!#REF!,"AAAAAH///ZY=")</f>
        <v>#REF!</v>
      </c>
      <c r="EV7" t="e">
        <f>AND(Investigación!#REF!,"AAAAAH///Zc=")</f>
        <v>#REF!</v>
      </c>
      <c r="EW7" t="e">
        <f>AND(Investigación!#REF!,"AAAAAH///Zg=")</f>
        <v>#REF!</v>
      </c>
      <c r="EX7" t="e">
        <f>AND(Investigación!#REF!,"AAAAAH///Zk=")</f>
        <v>#REF!</v>
      </c>
      <c r="EY7" t="e">
        <f>AND(Investigación!#REF!,"AAAAAH///Zo=")</f>
        <v>#REF!</v>
      </c>
      <c r="EZ7" t="e">
        <f>AND(Investigación!#REF!,"AAAAAH///Zs=")</f>
        <v>#REF!</v>
      </c>
      <c r="FA7" t="e">
        <f>IF(Investigación!#REF!,"AAAAAH///Zw=",0)</f>
        <v>#REF!</v>
      </c>
      <c r="FB7" t="e">
        <f>AND(Investigación!#REF!,"AAAAAH///Z0=")</f>
        <v>#REF!</v>
      </c>
      <c r="FC7" t="e">
        <f>AND(Investigación!#REF!,"AAAAAH///Z4=")</f>
        <v>#REF!</v>
      </c>
      <c r="FD7" t="e">
        <f>AND(Investigación!#REF!,"AAAAAH///Z8=")</f>
        <v>#REF!</v>
      </c>
      <c r="FE7" t="e">
        <f>AND(Investigación!#REF!,"AAAAAH///aA=")</f>
        <v>#REF!</v>
      </c>
      <c r="FF7" t="e">
        <f>AND(Investigación!#REF!,"AAAAAH///aE=")</f>
        <v>#REF!</v>
      </c>
      <c r="FG7" t="e">
        <f>AND(Investigación!#REF!,"AAAAAH///aI=")</f>
        <v>#REF!</v>
      </c>
      <c r="FH7" t="e">
        <f>IF(Investigación!A:A,"AAAAAH///aM=",0)</f>
        <v>#VALUE!</v>
      </c>
      <c r="FI7" t="e">
        <f>IF(Investigación!#REF!,"AAAAAH///aQ=",0)</f>
        <v>#REF!</v>
      </c>
      <c r="FJ7" t="str">
        <f>IF(Investigación!B:B,"AAAAAH///aU=",0)</f>
        <v>AAAAAH///aU=</v>
      </c>
      <c r="FK7" t="str">
        <f>IF(Investigación!C:C,"AAAAAH///aY=",0)</f>
        <v>AAAAAH///aY=</v>
      </c>
      <c r="FL7" t="str">
        <f>IF(Investigación!D:D,"AAAAAH///ac=",0)</f>
        <v>AAAAAH///ac=</v>
      </c>
      <c r="FM7" t="str">
        <f>IF(Investigación!E:E,"AAAAAH///ag=",0)</f>
        <v>AAAAAH///ag=</v>
      </c>
      <c r="FN7">
        <f>IF(Evaluaciones!1:1,"AAAAAH///ak=",0)</f>
        <v>0</v>
      </c>
      <c r="FO7" t="e">
        <f>AND(Evaluaciones!A1,"AAAAAH///ao=")</f>
        <v>#VALUE!</v>
      </c>
      <c r="FP7" t="e">
        <f>AND(Evaluaciones!#REF!,"AAAAAH///as=")</f>
        <v>#REF!</v>
      </c>
      <c r="FQ7" t="e">
        <f>AND(Evaluaciones!B1,"AAAAAH///aw=")</f>
        <v>#VALUE!</v>
      </c>
      <c r="FR7" t="e">
        <f>AND(Evaluaciones!C1,"AAAAAH///a0=")</f>
        <v>#VALUE!</v>
      </c>
      <c r="FS7" t="e">
        <f>AND(Evaluaciones!D1,"AAAAAH///a4=")</f>
        <v>#VALUE!</v>
      </c>
      <c r="FT7" t="e">
        <f>AND(Evaluaciones!E1,"AAAAAH///a8=")</f>
        <v>#VALUE!</v>
      </c>
      <c r="FU7" t="e">
        <f>AND(Evaluaciones!#REF!,"AAAAAH///bA=")</f>
        <v>#REF!</v>
      </c>
      <c r="FV7" t="e">
        <f>AND(Evaluaciones!#REF!,"AAAAAH///bE=")</f>
        <v>#REF!</v>
      </c>
      <c r="FW7" t="e">
        <f>AND(Evaluaciones!#REF!,"AAAAAH///bI=")</f>
        <v>#REF!</v>
      </c>
      <c r="FX7" t="e">
        <f>AND(Evaluaciones!#REF!,"AAAAAH///bM=")</f>
        <v>#REF!</v>
      </c>
      <c r="FY7" t="e">
        <f>AND(Evaluaciones!#REF!,"AAAAAH///bQ=")</f>
        <v>#REF!</v>
      </c>
      <c r="FZ7" t="e">
        <f>AND(Evaluaciones!#REF!,"AAAAAH///bU=")</f>
        <v>#REF!</v>
      </c>
      <c r="GA7" t="e">
        <f>AND(Evaluaciones!#REF!,"AAAAAH///bY=")</f>
        <v>#REF!</v>
      </c>
      <c r="GB7" t="e">
        <f>AND(Evaluaciones!#REF!,"AAAAAH///bc=")</f>
        <v>#REF!</v>
      </c>
      <c r="GC7" t="e">
        <f>AND(Evaluaciones!F1,"AAAAAH///bg=")</f>
        <v>#VALUE!</v>
      </c>
      <c r="GD7">
        <f>IF(Evaluaciones!2:2,"AAAAAH///bk=",0)</f>
        <v>0</v>
      </c>
      <c r="GE7" t="e">
        <f>AND(Evaluaciones!A2,"AAAAAH///bo=")</f>
        <v>#VALUE!</v>
      </c>
      <c r="GF7" t="e">
        <f>AND(Evaluaciones!#REF!,"AAAAAH///bs=")</f>
        <v>#REF!</v>
      </c>
      <c r="GG7" t="e">
        <f>AND(Evaluaciones!B2,"AAAAAH///bw=")</f>
        <v>#VALUE!</v>
      </c>
      <c r="GH7" t="e">
        <f>AND(Evaluaciones!C2,"AAAAAH///b0=")</f>
        <v>#VALUE!</v>
      </c>
      <c r="GI7" t="e">
        <f>AND(Evaluaciones!D2,"AAAAAH///b4=")</f>
        <v>#VALUE!</v>
      </c>
      <c r="GJ7" t="e">
        <f>AND(Evaluaciones!E2,"AAAAAH///b8=")</f>
        <v>#VALUE!</v>
      </c>
      <c r="GK7" t="e">
        <f>AND(Evaluaciones!#REF!,"AAAAAH///cA=")</f>
        <v>#REF!</v>
      </c>
      <c r="GL7" t="e">
        <f>AND(Evaluaciones!#REF!,"AAAAAH///cE=")</f>
        <v>#REF!</v>
      </c>
      <c r="GM7" t="e">
        <f>AND(Evaluaciones!#REF!,"AAAAAH///cI=")</f>
        <v>#REF!</v>
      </c>
      <c r="GN7" t="e">
        <f>AND(Evaluaciones!#REF!,"AAAAAH///cM=")</f>
        <v>#REF!</v>
      </c>
      <c r="GO7" t="e">
        <f>AND(Evaluaciones!#REF!,"AAAAAH///cQ=")</f>
        <v>#REF!</v>
      </c>
      <c r="GP7" t="e">
        <f>AND(Evaluaciones!#REF!,"AAAAAH///cU=")</f>
        <v>#REF!</v>
      </c>
      <c r="GQ7" t="e">
        <f>AND(Evaluaciones!#REF!,"AAAAAH///cY=")</f>
        <v>#REF!</v>
      </c>
      <c r="GR7" t="e">
        <f>AND(Evaluaciones!#REF!,"AAAAAH///cc=")</f>
        <v>#REF!</v>
      </c>
      <c r="GS7" t="e">
        <f>AND(Evaluaciones!F2,"AAAAAH///cg=")</f>
        <v>#VALUE!</v>
      </c>
      <c r="GT7" t="e">
        <f>IF(Evaluaciones!#REF!,"AAAAAH///ck=",0)</f>
        <v>#REF!</v>
      </c>
      <c r="GU7" t="e">
        <f>AND(Evaluaciones!#REF!,"AAAAAH///co=")</f>
        <v>#REF!</v>
      </c>
      <c r="GV7" t="e">
        <f>AND(Evaluaciones!#REF!,"AAAAAH///cs=")</f>
        <v>#REF!</v>
      </c>
      <c r="GW7" t="e">
        <f>AND(Evaluaciones!#REF!,"AAAAAH///cw=")</f>
        <v>#REF!</v>
      </c>
      <c r="GX7" t="e">
        <f>AND(Evaluaciones!#REF!,"AAAAAH///c0=")</f>
        <v>#REF!</v>
      </c>
      <c r="GY7" t="e">
        <f>AND(Evaluaciones!#REF!,"AAAAAH///c4=")</f>
        <v>#REF!</v>
      </c>
      <c r="GZ7" t="e">
        <f>AND(Evaluaciones!#REF!,"AAAAAH///c8=")</f>
        <v>#REF!</v>
      </c>
      <c r="HA7" t="e">
        <f>AND(Evaluaciones!#REF!,"AAAAAH///dA=")</f>
        <v>#REF!</v>
      </c>
      <c r="HB7" t="e">
        <f>AND(Evaluaciones!#REF!,"AAAAAH///dE=")</f>
        <v>#REF!</v>
      </c>
      <c r="HC7" t="e">
        <f>AND(Evaluaciones!#REF!,"AAAAAH///dI=")</f>
        <v>#REF!</v>
      </c>
      <c r="HD7" t="e">
        <f>AND(Evaluaciones!#REF!,"AAAAAH///dM=")</f>
        <v>#REF!</v>
      </c>
      <c r="HE7" t="e">
        <f>AND(Evaluaciones!#REF!,"AAAAAH///dQ=")</f>
        <v>#REF!</v>
      </c>
      <c r="HF7" t="e">
        <f>AND(Evaluaciones!#REF!,"AAAAAH///dU=")</f>
        <v>#REF!</v>
      </c>
      <c r="HG7" t="e">
        <f>AND(Evaluaciones!#REF!,"AAAAAH///dY=")</f>
        <v>#REF!</v>
      </c>
      <c r="HH7" t="e">
        <f>AND(Evaluaciones!#REF!,"AAAAAH///dc=")</f>
        <v>#REF!</v>
      </c>
      <c r="HI7" t="e">
        <f>AND(Evaluaciones!#REF!,"AAAAAH///dg=")</f>
        <v>#REF!</v>
      </c>
      <c r="HJ7" t="e">
        <f>IF(Evaluaciones!#REF!,"AAAAAH///dk=",0)</f>
        <v>#REF!</v>
      </c>
      <c r="HK7" t="e">
        <f>AND(Evaluaciones!#REF!,"AAAAAH///do=")</f>
        <v>#REF!</v>
      </c>
      <c r="HL7" t="e">
        <f>AND(Evaluaciones!#REF!,"AAAAAH///ds=")</f>
        <v>#REF!</v>
      </c>
      <c r="HM7" t="e">
        <f>AND(Evaluaciones!#REF!,"AAAAAH///dw=")</f>
        <v>#REF!</v>
      </c>
      <c r="HN7" t="e">
        <f>AND(Evaluaciones!#REF!,"AAAAAH///d0=")</f>
        <v>#REF!</v>
      </c>
      <c r="HO7" t="e">
        <f>AND(Evaluaciones!#REF!,"AAAAAH///d4=")</f>
        <v>#REF!</v>
      </c>
      <c r="HP7" t="e">
        <f>AND(Evaluaciones!#REF!,"AAAAAH///d8=")</f>
        <v>#REF!</v>
      </c>
      <c r="HQ7" t="e">
        <f>AND(Evaluaciones!#REF!,"AAAAAH///eA=")</f>
        <v>#REF!</v>
      </c>
      <c r="HR7" t="e">
        <f>AND(Evaluaciones!#REF!,"AAAAAH///eE=")</f>
        <v>#REF!</v>
      </c>
      <c r="HS7" t="e">
        <f>AND(Evaluaciones!#REF!,"AAAAAH///eI=")</f>
        <v>#REF!</v>
      </c>
      <c r="HT7" t="e">
        <f>AND(Evaluaciones!#REF!,"AAAAAH///eM=")</f>
        <v>#REF!</v>
      </c>
      <c r="HU7" t="e">
        <f>AND(Evaluaciones!#REF!,"AAAAAH///eQ=")</f>
        <v>#REF!</v>
      </c>
      <c r="HV7" t="e">
        <f>AND(Evaluaciones!#REF!,"AAAAAH///eU=")</f>
        <v>#REF!</v>
      </c>
      <c r="HW7" t="e">
        <f>AND(Evaluaciones!#REF!,"AAAAAH///eY=")</f>
        <v>#REF!</v>
      </c>
      <c r="HX7" t="e">
        <f>AND(Evaluaciones!#REF!,"AAAAAH///ec=")</f>
        <v>#REF!</v>
      </c>
      <c r="HY7" t="e">
        <f>AND(Evaluaciones!#REF!,"AAAAAH///eg=")</f>
        <v>#REF!</v>
      </c>
      <c r="HZ7" t="e">
        <f>IF(Evaluaciones!#REF!,"AAAAAH///ek=",0)</f>
        <v>#REF!</v>
      </c>
      <c r="IA7" t="e">
        <f>AND(Evaluaciones!#REF!,"AAAAAH///eo=")</f>
        <v>#REF!</v>
      </c>
      <c r="IB7" t="e">
        <f>AND(Evaluaciones!#REF!,"AAAAAH///es=")</f>
        <v>#REF!</v>
      </c>
      <c r="IC7" t="e">
        <f>AND(Evaluaciones!#REF!,"AAAAAH///ew=")</f>
        <v>#REF!</v>
      </c>
      <c r="ID7" t="e">
        <f>AND(Evaluaciones!#REF!,"AAAAAH///e0=")</f>
        <v>#REF!</v>
      </c>
      <c r="IE7" t="e">
        <f>AND(Evaluaciones!#REF!,"AAAAAH///e4=")</f>
        <v>#REF!</v>
      </c>
      <c r="IF7" t="e">
        <f>AND(Evaluaciones!#REF!,"AAAAAH///e8=")</f>
        <v>#REF!</v>
      </c>
      <c r="IG7" t="e">
        <f>AND(Evaluaciones!#REF!,"AAAAAH///fA=")</f>
        <v>#REF!</v>
      </c>
      <c r="IH7" t="e">
        <f>AND(Evaluaciones!#REF!,"AAAAAH///fE=")</f>
        <v>#REF!</v>
      </c>
      <c r="II7" t="e">
        <f>AND(Evaluaciones!#REF!,"AAAAAH///fI=")</f>
        <v>#REF!</v>
      </c>
      <c r="IJ7" t="e">
        <f>AND(Evaluaciones!#REF!,"AAAAAH///fM=")</f>
        <v>#REF!</v>
      </c>
      <c r="IK7" t="e">
        <f>AND(Evaluaciones!#REF!,"AAAAAH///fQ=")</f>
        <v>#REF!</v>
      </c>
      <c r="IL7" t="e">
        <f>AND(Evaluaciones!#REF!,"AAAAAH///fU=")</f>
        <v>#REF!</v>
      </c>
      <c r="IM7" t="e">
        <f>AND(Evaluaciones!#REF!,"AAAAAH///fY=")</f>
        <v>#REF!</v>
      </c>
      <c r="IN7" t="e">
        <f>AND(Evaluaciones!#REF!,"AAAAAH///fc=")</f>
        <v>#REF!</v>
      </c>
      <c r="IO7" t="e">
        <f>AND(Evaluaciones!#REF!,"AAAAAH///fg=")</f>
        <v>#REF!</v>
      </c>
      <c r="IP7">
        <f>IF(Evaluaciones!3:3,"AAAAAH///fk=",0)</f>
        <v>0</v>
      </c>
      <c r="IQ7" t="e">
        <f>AND(Evaluaciones!A3,"AAAAAH///fo=")</f>
        <v>#VALUE!</v>
      </c>
      <c r="IR7" t="e">
        <f>AND(Evaluaciones!#REF!,"AAAAAH///fs=")</f>
        <v>#REF!</v>
      </c>
      <c r="IS7" t="e">
        <f>AND(Evaluaciones!B3,"AAAAAH///fw=")</f>
        <v>#VALUE!</v>
      </c>
      <c r="IT7" t="e">
        <f>AND(Evaluaciones!C3,"AAAAAH///f0=")</f>
        <v>#VALUE!</v>
      </c>
      <c r="IU7" t="e">
        <f>AND(Evaluaciones!D3,"AAAAAH///f4=")</f>
        <v>#VALUE!</v>
      </c>
      <c r="IV7" t="e">
        <f>AND(Evaluaciones!E3,"AAAAAH///f8=")</f>
        <v>#VALUE!</v>
      </c>
    </row>
    <row r="8" spans="1:256" x14ac:dyDescent="0.35">
      <c r="A8" t="e">
        <f>AND(Evaluaciones!#REF!,"AAAAAD/9twA=")</f>
        <v>#REF!</v>
      </c>
      <c r="B8" t="e">
        <f>AND(Evaluaciones!#REF!,"AAAAAD/9twE=")</f>
        <v>#REF!</v>
      </c>
      <c r="C8" t="e">
        <f>AND(Evaluaciones!#REF!,"AAAAAD/9twI=")</f>
        <v>#REF!</v>
      </c>
      <c r="D8" t="e">
        <f>AND(Evaluaciones!#REF!,"AAAAAD/9twM=")</f>
        <v>#REF!</v>
      </c>
      <c r="E8" t="e">
        <f>AND(Evaluaciones!#REF!,"AAAAAD/9twQ=")</f>
        <v>#REF!</v>
      </c>
      <c r="F8" t="e">
        <f>AND(Evaluaciones!#REF!,"AAAAAD/9twU=")</f>
        <v>#REF!</v>
      </c>
      <c r="G8" t="e">
        <f>AND(Evaluaciones!#REF!,"AAAAAD/9twY=")</f>
        <v>#REF!</v>
      </c>
      <c r="H8" t="e">
        <f>AND(Evaluaciones!#REF!,"AAAAAD/9twc=")</f>
        <v>#REF!</v>
      </c>
      <c r="I8" t="e">
        <f>AND(Evaluaciones!F3,"AAAAAD/9twg=")</f>
        <v>#VALUE!</v>
      </c>
      <c r="J8">
        <f>IF(Evaluaciones!4:4,"AAAAAD/9twk=",0)</f>
        <v>0</v>
      </c>
      <c r="K8" t="e">
        <f>AND(Evaluaciones!A4,"AAAAAD/9two=")</f>
        <v>#VALUE!</v>
      </c>
      <c r="L8" t="e">
        <f>AND(Evaluaciones!#REF!,"AAAAAD/9tws=")</f>
        <v>#REF!</v>
      </c>
      <c r="M8" t="e">
        <f>AND(Evaluaciones!B4,"AAAAAD/9tww=")</f>
        <v>#VALUE!</v>
      </c>
      <c r="N8" t="e">
        <f>AND(Evaluaciones!C4,"AAAAAD/9tw0=")</f>
        <v>#VALUE!</v>
      </c>
      <c r="O8" t="e">
        <f>AND(Evaluaciones!D4,"AAAAAD/9tw4=")</f>
        <v>#VALUE!</v>
      </c>
      <c r="P8" t="e">
        <f>AND(Evaluaciones!E4,"AAAAAD/9tw8=")</f>
        <v>#VALUE!</v>
      </c>
      <c r="Q8" t="e">
        <f>AND(Evaluaciones!#REF!,"AAAAAD/9txA=")</f>
        <v>#REF!</v>
      </c>
      <c r="R8" t="e">
        <f>AND(Evaluaciones!#REF!,"AAAAAD/9txE=")</f>
        <v>#REF!</v>
      </c>
      <c r="S8" t="e">
        <f>AND(Evaluaciones!#REF!,"AAAAAD/9txI=")</f>
        <v>#REF!</v>
      </c>
      <c r="T8" t="e">
        <f>AND(Evaluaciones!#REF!,"AAAAAD/9txM=")</f>
        <v>#REF!</v>
      </c>
      <c r="U8" t="e">
        <f>AND(Evaluaciones!#REF!,"AAAAAD/9txQ=")</f>
        <v>#REF!</v>
      </c>
      <c r="V8" t="e">
        <f>AND(Evaluaciones!#REF!,"AAAAAD/9txU=")</f>
        <v>#REF!</v>
      </c>
      <c r="W8" t="e">
        <f>AND(Evaluaciones!#REF!,"AAAAAD/9txY=")</f>
        <v>#REF!</v>
      </c>
      <c r="X8" t="e">
        <f>AND(Evaluaciones!#REF!,"AAAAAD/9txc=")</f>
        <v>#REF!</v>
      </c>
      <c r="Y8" t="e">
        <f>AND(Evaluaciones!F4,"AAAAAD/9txg=")</f>
        <v>#VALUE!</v>
      </c>
      <c r="Z8">
        <f>IF(Evaluaciones!5:5,"AAAAAD/9txk=",0)</f>
        <v>0</v>
      </c>
      <c r="AA8" t="e">
        <f>AND(Evaluaciones!A5,"AAAAAD/9txo=")</f>
        <v>#VALUE!</v>
      </c>
      <c r="AB8" t="e">
        <f>AND(Evaluaciones!#REF!,"AAAAAD/9txs=")</f>
        <v>#REF!</v>
      </c>
      <c r="AC8" t="e">
        <f>AND(Evaluaciones!B5,"AAAAAD/9txw=")</f>
        <v>#VALUE!</v>
      </c>
      <c r="AD8" t="e">
        <f>AND(Evaluaciones!C5,"AAAAAD/9tx0=")</f>
        <v>#VALUE!</v>
      </c>
      <c r="AE8" t="e">
        <f>AND(Evaluaciones!D5,"AAAAAD/9tx4=")</f>
        <v>#VALUE!</v>
      </c>
      <c r="AF8" t="e">
        <f>AND(Evaluaciones!E5,"AAAAAD/9tx8=")</f>
        <v>#VALUE!</v>
      </c>
      <c r="AG8" t="e">
        <f>AND(Evaluaciones!#REF!,"AAAAAD/9tyA=")</f>
        <v>#REF!</v>
      </c>
      <c r="AH8" t="e">
        <f>AND(Evaluaciones!#REF!,"AAAAAD/9tyE=")</f>
        <v>#REF!</v>
      </c>
      <c r="AI8" t="e">
        <f>AND(Evaluaciones!#REF!,"AAAAAD/9tyI=")</f>
        <v>#REF!</v>
      </c>
      <c r="AJ8" t="e">
        <f>AND(Evaluaciones!#REF!,"AAAAAD/9tyM=")</f>
        <v>#REF!</v>
      </c>
      <c r="AK8" t="e">
        <f>AND(Evaluaciones!#REF!,"AAAAAD/9tyQ=")</f>
        <v>#REF!</v>
      </c>
      <c r="AL8" t="e">
        <f>AND(Evaluaciones!#REF!,"AAAAAD/9tyU=")</f>
        <v>#REF!</v>
      </c>
      <c r="AM8" t="e">
        <f>AND(Evaluaciones!#REF!,"AAAAAD/9tyY=")</f>
        <v>#REF!</v>
      </c>
      <c r="AN8" t="e">
        <f>AND(Evaluaciones!#REF!,"AAAAAD/9tyc=")</f>
        <v>#REF!</v>
      </c>
      <c r="AO8" t="e">
        <f>AND(Evaluaciones!F5,"AAAAAD/9tyg=")</f>
        <v>#VALUE!</v>
      </c>
      <c r="AP8">
        <f>IF(Evaluaciones!6:6,"AAAAAD/9tyk=",0)</f>
        <v>0</v>
      </c>
      <c r="AQ8" t="e">
        <f>AND(Evaluaciones!A6,"AAAAAD/9tyo=")</f>
        <v>#VALUE!</v>
      </c>
      <c r="AR8" t="e">
        <f>AND(Evaluaciones!#REF!,"AAAAAD/9tys=")</f>
        <v>#REF!</v>
      </c>
      <c r="AS8" t="e">
        <f>AND(Evaluaciones!B6,"AAAAAD/9tyw=")</f>
        <v>#VALUE!</v>
      </c>
      <c r="AT8" t="e">
        <f>AND(Evaluaciones!C6,"AAAAAD/9ty0=")</f>
        <v>#VALUE!</v>
      </c>
      <c r="AU8" t="e">
        <f>AND(Evaluaciones!D6,"AAAAAD/9ty4=")</f>
        <v>#VALUE!</v>
      </c>
      <c r="AV8" t="e">
        <f>AND(Evaluaciones!E6,"AAAAAD/9ty8=")</f>
        <v>#VALUE!</v>
      </c>
      <c r="AW8" t="e">
        <f>AND(Evaluaciones!#REF!,"AAAAAD/9tzA=")</f>
        <v>#REF!</v>
      </c>
      <c r="AX8" t="e">
        <f>AND(Evaluaciones!#REF!,"AAAAAD/9tzE=")</f>
        <v>#REF!</v>
      </c>
      <c r="AY8" t="e">
        <f>AND(Evaluaciones!#REF!,"AAAAAD/9tzI=")</f>
        <v>#REF!</v>
      </c>
      <c r="AZ8" t="e">
        <f>AND(Evaluaciones!#REF!,"AAAAAD/9tzM=")</f>
        <v>#REF!</v>
      </c>
      <c r="BA8" t="e">
        <f>AND(Evaluaciones!#REF!,"AAAAAD/9tzQ=")</f>
        <v>#REF!</v>
      </c>
      <c r="BB8" t="e">
        <f>AND(Evaluaciones!#REF!,"AAAAAD/9tzU=")</f>
        <v>#REF!</v>
      </c>
      <c r="BC8" t="e">
        <f>AND(Evaluaciones!#REF!,"AAAAAD/9tzY=")</f>
        <v>#REF!</v>
      </c>
      <c r="BD8" t="e">
        <f>AND(Evaluaciones!#REF!,"AAAAAD/9tzc=")</f>
        <v>#REF!</v>
      </c>
      <c r="BE8" t="e">
        <f>AND(Evaluaciones!F6,"AAAAAD/9tzg=")</f>
        <v>#VALUE!</v>
      </c>
      <c r="BF8" t="e">
        <f>IF(Evaluaciones!#REF!,"AAAAAD/9tzk=",0)</f>
        <v>#REF!</v>
      </c>
      <c r="BG8" t="e">
        <f>AND(Evaluaciones!#REF!,"AAAAAD/9tzo=")</f>
        <v>#REF!</v>
      </c>
      <c r="BH8" t="e">
        <f>AND(Evaluaciones!#REF!,"AAAAAD/9tzs=")</f>
        <v>#REF!</v>
      </c>
      <c r="BI8" t="e">
        <f>AND(Evaluaciones!#REF!,"AAAAAD/9tzw=")</f>
        <v>#REF!</v>
      </c>
      <c r="BJ8" t="e">
        <f>AND(Evaluaciones!#REF!,"AAAAAD/9tz0=")</f>
        <v>#REF!</v>
      </c>
      <c r="BK8" t="e">
        <f>AND(Evaluaciones!#REF!,"AAAAAD/9tz4=")</f>
        <v>#REF!</v>
      </c>
      <c r="BL8" t="e">
        <f>AND(Evaluaciones!#REF!,"AAAAAD/9tz8=")</f>
        <v>#REF!</v>
      </c>
      <c r="BM8" t="e">
        <f>AND(Evaluaciones!#REF!,"AAAAAD/9t0A=")</f>
        <v>#REF!</v>
      </c>
      <c r="BN8" t="e">
        <f>AND(Evaluaciones!#REF!,"AAAAAD/9t0E=")</f>
        <v>#REF!</v>
      </c>
      <c r="BO8" t="e">
        <f>AND(Evaluaciones!#REF!,"AAAAAD/9t0I=")</f>
        <v>#REF!</v>
      </c>
      <c r="BP8" t="e">
        <f>AND(Evaluaciones!#REF!,"AAAAAD/9t0M=")</f>
        <v>#REF!</v>
      </c>
      <c r="BQ8" t="e">
        <f>AND(Evaluaciones!#REF!,"AAAAAD/9t0Q=")</f>
        <v>#REF!</v>
      </c>
      <c r="BR8" t="e">
        <f>AND(Evaluaciones!#REF!,"AAAAAD/9t0U=")</f>
        <v>#REF!</v>
      </c>
      <c r="BS8" t="e">
        <f>AND(Evaluaciones!#REF!,"AAAAAD/9t0Y=")</f>
        <v>#REF!</v>
      </c>
      <c r="BT8" t="e">
        <f>AND(Evaluaciones!#REF!,"AAAAAD/9t0c=")</f>
        <v>#REF!</v>
      </c>
      <c r="BU8" t="e">
        <f>AND(Evaluaciones!#REF!,"AAAAAD/9t0g=")</f>
        <v>#REF!</v>
      </c>
      <c r="BV8">
        <f>IF(Evaluaciones!7:7,"AAAAAD/9t0k=",0)</f>
        <v>0</v>
      </c>
      <c r="BW8" t="e">
        <f>AND(Evaluaciones!A7,"AAAAAD/9t0o=")</f>
        <v>#VALUE!</v>
      </c>
      <c r="BX8" t="e">
        <f>AND(Evaluaciones!#REF!,"AAAAAD/9t0s=")</f>
        <v>#REF!</v>
      </c>
      <c r="BY8" t="e">
        <f>AND(Evaluaciones!B7,"AAAAAD/9t0w=")</f>
        <v>#VALUE!</v>
      </c>
      <c r="BZ8" t="e">
        <f>AND(Evaluaciones!C7,"AAAAAD/9t00=")</f>
        <v>#VALUE!</v>
      </c>
      <c r="CA8" t="e">
        <f>AND(Evaluaciones!D7,"AAAAAD/9t04=")</f>
        <v>#VALUE!</v>
      </c>
      <c r="CB8" t="e">
        <f>AND(Evaluaciones!E7,"AAAAAD/9t08=")</f>
        <v>#VALUE!</v>
      </c>
      <c r="CC8" t="e">
        <f>AND(Evaluaciones!#REF!,"AAAAAD/9t1A=")</f>
        <v>#REF!</v>
      </c>
      <c r="CD8" t="e">
        <f>AND(Evaluaciones!#REF!,"AAAAAD/9t1E=")</f>
        <v>#REF!</v>
      </c>
      <c r="CE8" t="e">
        <f>AND(Evaluaciones!#REF!,"AAAAAD/9t1I=")</f>
        <v>#REF!</v>
      </c>
      <c r="CF8" t="e">
        <f>AND(Evaluaciones!#REF!,"AAAAAD/9t1M=")</f>
        <v>#REF!</v>
      </c>
      <c r="CG8" t="e">
        <f>AND(Evaluaciones!#REF!,"AAAAAD/9t1Q=")</f>
        <v>#REF!</v>
      </c>
      <c r="CH8" t="e">
        <f>AND(Evaluaciones!#REF!,"AAAAAD/9t1U=")</f>
        <v>#REF!</v>
      </c>
      <c r="CI8" t="e">
        <f>AND(Evaluaciones!#REF!,"AAAAAD/9t1Y=")</f>
        <v>#REF!</v>
      </c>
      <c r="CJ8" t="e">
        <f>AND(Evaluaciones!#REF!,"AAAAAD/9t1c=")</f>
        <v>#REF!</v>
      </c>
      <c r="CK8" t="e">
        <f>AND(Evaluaciones!F7,"AAAAAD/9t1g=")</f>
        <v>#VALUE!</v>
      </c>
      <c r="CL8" t="e">
        <f>IF(Evaluaciones!#REF!,"AAAAAD/9t1k=",0)</f>
        <v>#REF!</v>
      </c>
      <c r="CM8" t="e">
        <f>AND(Evaluaciones!#REF!,"AAAAAD/9t1o=")</f>
        <v>#REF!</v>
      </c>
      <c r="CN8" t="e">
        <f>AND(Evaluaciones!#REF!,"AAAAAD/9t1s=")</f>
        <v>#REF!</v>
      </c>
      <c r="CO8" t="e">
        <f>AND(Evaluaciones!#REF!,"AAAAAD/9t1w=")</f>
        <v>#REF!</v>
      </c>
      <c r="CP8" t="e">
        <f>AND(Evaluaciones!#REF!,"AAAAAD/9t10=")</f>
        <v>#REF!</v>
      </c>
      <c r="CQ8" t="e">
        <f>AND(Evaluaciones!#REF!,"AAAAAD/9t14=")</f>
        <v>#REF!</v>
      </c>
      <c r="CR8" t="e">
        <f>AND(Evaluaciones!#REF!,"AAAAAD/9t18=")</f>
        <v>#REF!</v>
      </c>
      <c r="CS8" t="e">
        <f>AND(Evaluaciones!#REF!,"AAAAAD/9t2A=")</f>
        <v>#REF!</v>
      </c>
      <c r="CT8" t="e">
        <f>AND(Evaluaciones!#REF!,"AAAAAD/9t2E=")</f>
        <v>#REF!</v>
      </c>
      <c r="CU8" t="e">
        <f>AND(Evaluaciones!#REF!,"AAAAAD/9t2I=")</f>
        <v>#REF!</v>
      </c>
      <c r="CV8" t="e">
        <f>AND(Evaluaciones!#REF!,"AAAAAD/9t2M=")</f>
        <v>#REF!</v>
      </c>
      <c r="CW8" t="e">
        <f>AND(Evaluaciones!#REF!,"AAAAAD/9t2Q=")</f>
        <v>#REF!</v>
      </c>
      <c r="CX8" t="e">
        <f>AND(Evaluaciones!#REF!,"AAAAAD/9t2U=")</f>
        <v>#REF!</v>
      </c>
      <c r="CY8" t="e">
        <f>AND(Evaluaciones!#REF!,"AAAAAD/9t2Y=")</f>
        <v>#REF!</v>
      </c>
      <c r="CZ8" t="e">
        <f>AND(Evaluaciones!#REF!,"AAAAAD/9t2c=")</f>
        <v>#REF!</v>
      </c>
      <c r="DA8" t="e">
        <f>AND(Evaluaciones!#REF!,"AAAAAD/9t2g=")</f>
        <v>#REF!</v>
      </c>
      <c r="DB8">
        <f>IF(Evaluaciones!8:8,"AAAAAD/9t2k=",0)</f>
        <v>0</v>
      </c>
      <c r="DC8" t="e">
        <f>AND(Evaluaciones!A8,"AAAAAD/9t2o=")</f>
        <v>#VALUE!</v>
      </c>
      <c r="DD8" t="e">
        <f>AND(Evaluaciones!#REF!,"AAAAAD/9t2s=")</f>
        <v>#REF!</v>
      </c>
      <c r="DE8" t="e">
        <f>AND(Evaluaciones!B8,"AAAAAD/9t2w=")</f>
        <v>#VALUE!</v>
      </c>
      <c r="DF8" t="e">
        <f>AND(Evaluaciones!C8,"AAAAAD/9t20=")</f>
        <v>#VALUE!</v>
      </c>
      <c r="DG8" t="e">
        <f>AND(Evaluaciones!D8,"AAAAAD/9t24=")</f>
        <v>#VALUE!</v>
      </c>
      <c r="DH8" t="e">
        <f>AND(Evaluaciones!E8,"AAAAAD/9t28=")</f>
        <v>#VALUE!</v>
      </c>
      <c r="DI8" t="e">
        <f>AND(Evaluaciones!#REF!,"AAAAAD/9t3A=")</f>
        <v>#REF!</v>
      </c>
      <c r="DJ8" t="e">
        <f>AND(Evaluaciones!#REF!,"AAAAAD/9t3E=")</f>
        <v>#REF!</v>
      </c>
      <c r="DK8" t="e">
        <f>AND(Evaluaciones!#REF!,"AAAAAD/9t3I=")</f>
        <v>#REF!</v>
      </c>
      <c r="DL8" t="e">
        <f>AND(Evaluaciones!#REF!,"AAAAAD/9t3M=")</f>
        <v>#REF!</v>
      </c>
      <c r="DM8" t="e">
        <f>AND(Evaluaciones!#REF!,"AAAAAD/9t3Q=")</f>
        <v>#REF!</v>
      </c>
      <c r="DN8" t="e">
        <f>AND(Evaluaciones!#REF!,"AAAAAD/9t3U=")</f>
        <v>#REF!</v>
      </c>
      <c r="DO8" t="e">
        <f>AND(Evaluaciones!#REF!,"AAAAAD/9t3Y=")</f>
        <v>#REF!</v>
      </c>
      <c r="DP8" t="e">
        <f>AND(Evaluaciones!#REF!,"AAAAAD/9t3c=")</f>
        <v>#REF!</v>
      </c>
      <c r="DQ8" t="e">
        <f>AND(Evaluaciones!F8,"AAAAAD/9t3g=")</f>
        <v>#VALUE!</v>
      </c>
      <c r="DR8">
        <f>IF(Evaluaciones!9:9,"AAAAAD/9t3k=",0)</f>
        <v>0</v>
      </c>
      <c r="DS8" t="e">
        <f>AND(Evaluaciones!A9,"AAAAAD/9t3o=")</f>
        <v>#VALUE!</v>
      </c>
      <c r="DT8" t="e">
        <f>AND(Evaluaciones!#REF!,"AAAAAD/9t3s=")</f>
        <v>#REF!</v>
      </c>
      <c r="DU8" t="e">
        <f>AND(Evaluaciones!B9,"AAAAAD/9t3w=")</f>
        <v>#VALUE!</v>
      </c>
      <c r="DV8" t="e">
        <f>AND(Evaluaciones!C9,"AAAAAD/9t30=")</f>
        <v>#VALUE!</v>
      </c>
      <c r="DW8" t="e">
        <f>AND(Evaluaciones!D9,"AAAAAD/9t34=")</f>
        <v>#VALUE!</v>
      </c>
      <c r="DX8" t="e">
        <f>AND(Evaluaciones!E9,"AAAAAD/9t38=")</f>
        <v>#VALUE!</v>
      </c>
      <c r="DY8" t="e">
        <f>AND(Evaluaciones!#REF!,"AAAAAD/9t4A=")</f>
        <v>#REF!</v>
      </c>
      <c r="DZ8" t="e">
        <f>AND(Evaluaciones!#REF!,"AAAAAD/9t4E=")</f>
        <v>#REF!</v>
      </c>
      <c r="EA8" t="e">
        <f>AND(Evaluaciones!#REF!,"AAAAAD/9t4I=")</f>
        <v>#REF!</v>
      </c>
      <c r="EB8" t="e">
        <f>AND(Evaluaciones!#REF!,"AAAAAD/9t4M=")</f>
        <v>#REF!</v>
      </c>
      <c r="EC8" t="e">
        <f>AND(Evaluaciones!#REF!,"AAAAAD/9t4Q=")</f>
        <v>#REF!</v>
      </c>
      <c r="ED8" t="e">
        <f>AND(Evaluaciones!#REF!,"AAAAAD/9t4U=")</f>
        <v>#REF!</v>
      </c>
      <c r="EE8" t="e">
        <f>AND(Evaluaciones!#REF!,"AAAAAD/9t4Y=")</f>
        <v>#REF!</v>
      </c>
      <c r="EF8" t="e">
        <f>AND(Evaluaciones!#REF!,"AAAAAD/9t4c=")</f>
        <v>#REF!</v>
      </c>
      <c r="EG8" t="e">
        <f>AND(Evaluaciones!F9,"AAAAAD/9t4g=")</f>
        <v>#VALUE!</v>
      </c>
      <c r="EH8">
        <f>IF(Evaluaciones!10:10,"AAAAAD/9t4k=",0)</f>
        <v>0</v>
      </c>
      <c r="EI8" t="e">
        <f>AND(Evaluaciones!A10,"AAAAAD/9t4o=")</f>
        <v>#VALUE!</v>
      </c>
      <c r="EJ8" t="e">
        <f>AND(Evaluaciones!#REF!,"AAAAAD/9t4s=")</f>
        <v>#REF!</v>
      </c>
      <c r="EK8" t="e">
        <f>AND(Evaluaciones!B10,"AAAAAD/9t4w=")</f>
        <v>#VALUE!</v>
      </c>
      <c r="EL8" t="e">
        <f>AND(Evaluaciones!C10,"AAAAAD/9t40=")</f>
        <v>#VALUE!</v>
      </c>
      <c r="EM8" t="e">
        <f>AND(Evaluaciones!D10,"AAAAAD/9t44=")</f>
        <v>#VALUE!</v>
      </c>
      <c r="EN8" t="e">
        <f>AND(Evaluaciones!E10,"AAAAAD/9t48=")</f>
        <v>#VALUE!</v>
      </c>
      <c r="EO8" t="e">
        <f>AND(Evaluaciones!#REF!,"AAAAAD/9t5A=")</f>
        <v>#REF!</v>
      </c>
      <c r="EP8" t="e">
        <f>AND(Evaluaciones!#REF!,"AAAAAD/9t5E=")</f>
        <v>#REF!</v>
      </c>
      <c r="EQ8" t="e">
        <f>AND(Evaluaciones!#REF!,"AAAAAD/9t5I=")</f>
        <v>#REF!</v>
      </c>
      <c r="ER8" t="e">
        <f>AND(Evaluaciones!#REF!,"AAAAAD/9t5M=")</f>
        <v>#REF!</v>
      </c>
      <c r="ES8" t="e">
        <f>AND(Evaluaciones!#REF!,"AAAAAD/9t5Q=")</f>
        <v>#REF!</v>
      </c>
      <c r="ET8" t="e">
        <f>AND(Evaluaciones!#REF!,"AAAAAD/9t5U=")</f>
        <v>#REF!</v>
      </c>
      <c r="EU8" t="e">
        <f>AND(Evaluaciones!#REF!,"AAAAAD/9t5Y=")</f>
        <v>#REF!</v>
      </c>
      <c r="EV8" t="e">
        <f>AND(Evaluaciones!#REF!,"AAAAAD/9t5c=")</f>
        <v>#REF!</v>
      </c>
      <c r="EW8" t="e">
        <f>AND(Evaluaciones!F10,"AAAAAD/9t5g=")</f>
        <v>#VALUE!</v>
      </c>
      <c r="EX8">
        <f>IF(Evaluaciones!11:11,"AAAAAD/9t5k=",0)</f>
        <v>0</v>
      </c>
      <c r="EY8" t="e">
        <f>AND(Evaluaciones!A11,"AAAAAD/9t5o=")</f>
        <v>#VALUE!</v>
      </c>
      <c r="EZ8" t="e">
        <f>AND(Evaluaciones!#REF!,"AAAAAD/9t5s=")</f>
        <v>#REF!</v>
      </c>
      <c r="FA8" t="e">
        <f>AND(Evaluaciones!B11,"AAAAAD/9t5w=")</f>
        <v>#VALUE!</v>
      </c>
      <c r="FB8" t="e">
        <f>AND(Evaluaciones!C11,"AAAAAD/9t50=")</f>
        <v>#VALUE!</v>
      </c>
      <c r="FC8" t="e">
        <f>AND(Evaluaciones!D11,"AAAAAD/9t54=")</f>
        <v>#VALUE!</v>
      </c>
      <c r="FD8" t="e">
        <f>AND(Evaluaciones!E11,"AAAAAD/9t58=")</f>
        <v>#VALUE!</v>
      </c>
      <c r="FE8" t="e">
        <f>AND(Evaluaciones!#REF!,"AAAAAD/9t6A=")</f>
        <v>#REF!</v>
      </c>
      <c r="FF8" t="e">
        <f>AND(Evaluaciones!#REF!,"AAAAAD/9t6E=")</f>
        <v>#REF!</v>
      </c>
      <c r="FG8" t="e">
        <f>AND(Evaluaciones!#REF!,"AAAAAD/9t6I=")</f>
        <v>#REF!</v>
      </c>
      <c r="FH8" t="e">
        <f>AND(Evaluaciones!#REF!,"AAAAAD/9t6M=")</f>
        <v>#REF!</v>
      </c>
      <c r="FI8" t="e">
        <f>AND(Evaluaciones!#REF!,"AAAAAD/9t6Q=")</f>
        <v>#REF!</v>
      </c>
      <c r="FJ8" t="e">
        <f>AND(Evaluaciones!#REF!,"AAAAAD/9t6U=")</f>
        <v>#REF!</v>
      </c>
      <c r="FK8" t="e">
        <f>AND(Evaluaciones!#REF!,"AAAAAD/9t6Y=")</f>
        <v>#REF!</v>
      </c>
      <c r="FL8" t="e">
        <f>AND(Evaluaciones!#REF!,"AAAAAD/9t6c=")</f>
        <v>#REF!</v>
      </c>
      <c r="FM8" t="e">
        <f>AND(Evaluaciones!F11,"AAAAAD/9t6g=")</f>
        <v>#VALUE!</v>
      </c>
      <c r="FN8">
        <f>IF(Evaluaciones!12:12,"AAAAAD/9t6k=",0)</f>
        <v>0</v>
      </c>
      <c r="FO8" t="e">
        <f>AND(Evaluaciones!A12,"AAAAAD/9t6o=")</f>
        <v>#VALUE!</v>
      </c>
      <c r="FP8" t="e">
        <f>AND(Evaluaciones!#REF!,"AAAAAD/9t6s=")</f>
        <v>#REF!</v>
      </c>
      <c r="FQ8" t="e">
        <f>AND(Evaluaciones!B12,"AAAAAD/9t6w=")</f>
        <v>#VALUE!</v>
      </c>
      <c r="FR8" t="e">
        <f>AND(Evaluaciones!C12,"AAAAAD/9t60=")</f>
        <v>#VALUE!</v>
      </c>
      <c r="FS8" t="e">
        <f>AND(Evaluaciones!D12,"AAAAAD/9t64=")</f>
        <v>#VALUE!</v>
      </c>
      <c r="FT8" t="e">
        <f>AND(Evaluaciones!E12,"AAAAAD/9t68=")</f>
        <v>#VALUE!</v>
      </c>
      <c r="FU8" t="e">
        <f>AND(Evaluaciones!#REF!,"AAAAAD/9t7A=")</f>
        <v>#REF!</v>
      </c>
      <c r="FV8" t="e">
        <f>AND(Evaluaciones!#REF!,"AAAAAD/9t7E=")</f>
        <v>#REF!</v>
      </c>
      <c r="FW8" t="e">
        <f>AND(Evaluaciones!#REF!,"AAAAAD/9t7I=")</f>
        <v>#REF!</v>
      </c>
      <c r="FX8" t="e">
        <f>AND(Evaluaciones!#REF!,"AAAAAD/9t7M=")</f>
        <v>#REF!</v>
      </c>
      <c r="FY8" t="e">
        <f>AND(Evaluaciones!#REF!,"AAAAAD/9t7Q=")</f>
        <v>#REF!</v>
      </c>
      <c r="FZ8" t="e">
        <f>AND(Evaluaciones!#REF!,"AAAAAD/9t7U=")</f>
        <v>#REF!</v>
      </c>
      <c r="GA8" t="e">
        <f>AND(Evaluaciones!#REF!,"AAAAAD/9t7Y=")</f>
        <v>#REF!</v>
      </c>
      <c r="GB8" t="e">
        <f>AND(Evaluaciones!#REF!,"AAAAAD/9t7c=")</f>
        <v>#REF!</v>
      </c>
      <c r="GC8" t="e">
        <f>AND(Evaluaciones!F12,"AAAAAD/9t7g=")</f>
        <v>#VALUE!</v>
      </c>
      <c r="GD8">
        <f>IF(Evaluaciones!13:13,"AAAAAD/9t7k=",0)</f>
        <v>0</v>
      </c>
      <c r="GE8" t="e">
        <f>AND(Evaluaciones!A13,"AAAAAD/9t7o=")</f>
        <v>#VALUE!</v>
      </c>
      <c r="GF8" t="e">
        <f>AND(Evaluaciones!#REF!,"AAAAAD/9t7s=")</f>
        <v>#REF!</v>
      </c>
      <c r="GG8" t="e">
        <f>AND(Evaluaciones!B13,"AAAAAD/9t7w=")</f>
        <v>#VALUE!</v>
      </c>
      <c r="GH8" t="e">
        <f>AND(Evaluaciones!C13,"AAAAAD/9t70=")</f>
        <v>#VALUE!</v>
      </c>
      <c r="GI8" t="e">
        <f>AND(Evaluaciones!D13,"AAAAAD/9t74=")</f>
        <v>#VALUE!</v>
      </c>
      <c r="GJ8" t="e">
        <f>AND(Evaluaciones!E13,"AAAAAD/9t78=")</f>
        <v>#VALUE!</v>
      </c>
      <c r="GK8" t="e">
        <f>AND(Evaluaciones!#REF!,"AAAAAD/9t8A=")</f>
        <v>#REF!</v>
      </c>
      <c r="GL8" t="e">
        <f>AND(Evaluaciones!#REF!,"AAAAAD/9t8E=")</f>
        <v>#REF!</v>
      </c>
      <c r="GM8" t="e">
        <f>AND(Evaluaciones!#REF!,"AAAAAD/9t8I=")</f>
        <v>#REF!</v>
      </c>
      <c r="GN8" t="e">
        <f>AND(Evaluaciones!#REF!,"AAAAAD/9t8M=")</f>
        <v>#REF!</v>
      </c>
      <c r="GO8" t="e">
        <f>AND(Evaluaciones!#REF!,"AAAAAD/9t8Q=")</f>
        <v>#REF!</v>
      </c>
      <c r="GP8" t="e">
        <f>AND(Evaluaciones!#REF!,"AAAAAD/9t8U=")</f>
        <v>#REF!</v>
      </c>
      <c r="GQ8" t="e">
        <f>AND(Evaluaciones!#REF!,"AAAAAD/9t8Y=")</f>
        <v>#REF!</v>
      </c>
      <c r="GR8" t="e">
        <f>AND(Evaluaciones!#REF!,"AAAAAD/9t8c=")</f>
        <v>#REF!</v>
      </c>
      <c r="GS8" t="e">
        <f>AND(Evaluaciones!F13,"AAAAAD/9t8g=")</f>
        <v>#VALUE!</v>
      </c>
      <c r="GT8" t="e">
        <f>IF(Evaluaciones!#REF!,"AAAAAD/9t8k=",0)</f>
        <v>#REF!</v>
      </c>
      <c r="GU8" t="e">
        <f>AND(Evaluaciones!#REF!,"AAAAAD/9t8o=")</f>
        <v>#REF!</v>
      </c>
      <c r="GV8" t="e">
        <f>AND(Evaluaciones!#REF!,"AAAAAD/9t8s=")</f>
        <v>#REF!</v>
      </c>
      <c r="GW8" t="e">
        <f>AND(Evaluaciones!#REF!,"AAAAAD/9t8w=")</f>
        <v>#REF!</v>
      </c>
      <c r="GX8" t="e">
        <f>AND(Evaluaciones!#REF!,"AAAAAD/9t80=")</f>
        <v>#REF!</v>
      </c>
      <c r="GY8" t="e">
        <f>AND(Evaluaciones!#REF!,"AAAAAD/9t84=")</f>
        <v>#REF!</v>
      </c>
      <c r="GZ8" t="e">
        <f>AND(Evaluaciones!#REF!,"AAAAAD/9t88=")</f>
        <v>#REF!</v>
      </c>
      <c r="HA8" t="e">
        <f>AND(Evaluaciones!#REF!,"AAAAAD/9t9A=")</f>
        <v>#REF!</v>
      </c>
      <c r="HB8" t="e">
        <f>AND(Evaluaciones!#REF!,"AAAAAD/9t9E=")</f>
        <v>#REF!</v>
      </c>
      <c r="HC8" t="e">
        <f>AND(Evaluaciones!#REF!,"AAAAAD/9t9I=")</f>
        <v>#REF!</v>
      </c>
      <c r="HD8" t="e">
        <f>AND(Evaluaciones!#REF!,"AAAAAD/9t9M=")</f>
        <v>#REF!</v>
      </c>
      <c r="HE8" t="e">
        <f>AND(Evaluaciones!#REF!,"AAAAAD/9t9Q=")</f>
        <v>#REF!</v>
      </c>
      <c r="HF8" t="e">
        <f>AND(Evaluaciones!#REF!,"AAAAAD/9t9U=")</f>
        <v>#REF!</v>
      </c>
      <c r="HG8" t="e">
        <f>AND(Evaluaciones!#REF!,"AAAAAD/9t9Y=")</f>
        <v>#REF!</v>
      </c>
      <c r="HH8" t="e">
        <f>AND(Evaluaciones!#REF!,"AAAAAD/9t9c=")</f>
        <v>#REF!</v>
      </c>
      <c r="HI8" t="e">
        <f>AND(Evaluaciones!#REF!,"AAAAAD/9t9g=")</f>
        <v>#REF!</v>
      </c>
      <c r="HJ8" t="e">
        <f>IF(Evaluaciones!#REF!,"AAAAAD/9t9k=",0)</f>
        <v>#REF!</v>
      </c>
      <c r="HK8" t="e">
        <f>AND(Evaluaciones!#REF!,"AAAAAD/9t9o=")</f>
        <v>#REF!</v>
      </c>
      <c r="HL8" t="e">
        <f>AND(Evaluaciones!#REF!,"AAAAAD/9t9s=")</f>
        <v>#REF!</v>
      </c>
      <c r="HM8" t="e">
        <f>AND(Evaluaciones!#REF!,"AAAAAD/9t9w=")</f>
        <v>#REF!</v>
      </c>
      <c r="HN8" t="e">
        <f>AND(Evaluaciones!#REF!,"AAAAAD/9t90=")</f>
        <v>#REF!</v>
      </c>
      <c r="HO8" t="e">
        <f>AND(Evaluaciones!#REF!,"AAAAAD/9t94=")</f>
        <v>#REF!</v>
      </c>
      <c r="HP8" t="e">
        <f>AND(Evaluaciones!#REF!,"AAAAAD/9t98=")</f>
        <v>#REF!</v>
      </c>
      <c r="HQ8" t="e">
        <f>AND(Evaluaciones!#REF!,"AAAAAD/9t+A=")</f>
        <v>#REF!</v>
      </c>
      <c r="HR8" t="e">
        <f>AND(Evaluaciones!#REF!,"AAAAAD/9t+E=")</f>
        <v>#REF!</v>
      </c>
      <c r="HS8" t="e">
        <f>AND(Evaluaciones!#REF!,"AAAAAD/9t+I=")</f>
        <v>#REF!</v>
      </c>
      <c r="HT8" t="e">
        <f>AND(Evaluaciones!#REF!,"AAAAAD/9t+M=")</f>
        <v>#REF!</v>
      </c>
      <c r="HU8" t="e">
        <f>AND(Evaluaciones!#REF!,"AAAAAD/9t+Q=")</f>
        <v>#REF!</v>
      </c>
      <c r="HV8" t="e">
        <f>AND(Evaluaciones!#REF!,"AAAAAD/9t+U=")</f>
        <v>#REF!</v>
      </c>
      <c r="HW8" t="e">
        <f>AND(Evaluaciones!#REF!,"AAAAAD/9t+Y=")</f>
        <v>#REF!</v>
      </c>
      <c r="HX8" t="e">
        <f>AND(Evaluaciones!#REF!,"AAAAAD/9t+c=")</f>
        <v>#REF!</v>
      </c>
      <c r="HY8" t="e">
        <f>AND(Evaluaciones!#REF!,"AAAAAD/9t+g=")</f>
        <v>#REF!</v>
      </c>
      <c r="HZ8" t="e">
        <f>IF(Evaluaciones!#REF!,"AAAAAD/9t+k=",0)</f>
        <v>#REF!</v>
      </c>
      <c r="IA8" t="e">
        <f>AND(Evaluaciones!#REF!,"AAAAAD/9t+o=")</f>
        <v>#REF!</v>
      </c>
      <c r="IB8" t="e">
        <f>AND(Evaluaciones!#REF!,"AAAAAD/9t+s=")</f>
        <v>#REF!</v>
      </c>
      <c r="IC8" t="e">
        <f>AND(Evaluaciones!#REF!,"AAAAAD/9t+w=")</f>
        <v>#REF!</v>
      </c>
      <c r="ID8" t="e">
        <f>AND(Evaluaciones!#REF!,"AAAAAD/9t+0=")</f>
        <v>#REF!</v>
      </c>
      <c r="IE8" t="e">
        <f>AND(Evaluaciones!#REF!,"AAAAAD/9t+4=")</f>
        <v>#REF!</v>
      </c>
      <c r="IF8" t="e">
        <f>AND(Evaluaciones!#REF!,"AAAAAD/9t+8=")</f>
        <v>#REF!</v>
      </c>
      <c r="IG8" t="e">
        <f>AND(Evaluaciones!#REF!,"AAAAAD/9t/A=")</f>
        <v>#REF!</v>
      </c>
      <c r="IH8" t="e">
        <f>AND(Evaluaciones!#REF!,"AAAAAD/9t/E=")</f>
        <v>#REF!</v>
      </c>
      <c r="II8" t="e">
        <f>AND(Evaluaciones!#REF!,"AAAAAD/9t/I=")</f>
        <v>#REF!</v>
      </c>
      <c r="IJ8" t="e">
        <f>AND(Evaluaciones!#REF!,"AAAAAD/9t/M=")</f>
        <v>#REF!</v>
      </c>
      <c r="IK8" t="e">
        <f>AND(Evaluaciones!#REF!,"AAAAAD/9t/Q=")</f>
        <v>#REF!</v>
      </c>
      <c r="IL8" t="e">
        <f>AND(Evaluaciones!#REF!,"AAAAAD/9t/U=")</f>
        <v>#REF!</v>
      </c>
      <c r="IM8" t="e">
        <f>AND(Evaluaciones!#REF!,"AAAAAD/9t/Y=")</f>
        <v>#REF!</v>
      </c>
      <c r="IN8" t="e">
        <f>AND(Evaluaciones!#REF!,"AAAAAD/9t/c=")</f>
        <v>#REF!</v>
      </c>
      <c r="IO8" t="e">
        <f>AND(Evaluaciones!#REF!,"AAAAAD/9t/g=")</f>
        <v>#REF!</v>
      </c>
      <c r="IP8" t="e">
        <f>IF(Evaluaciones!#REF!,"AAAAAD/9t/k=",0)</f>
        <v>#REF!</v>
      </c>
      <c r="IQ8" t="e">
        <f>AND(Evaluaciones!#REF!,"AAAAAD/9t/o=")</f>
        <v>#REF!</v>
      </c>
      <c r="IR8" t="e">
        <f>AND(Evaluaciones!#REF!,"AAAAAD/9t/s=")</f>
        <v>#REF!</v>
      </c>
      <c r="IS8" t="e">
        <f>AND(Evaluaciones!#REF!,"AAAAAD/9t/w=")</f>
        <v>#REF!</v>
      </c>
      <c r="IT8" t="e">
        <f>AND(Evaluaciones!#REF!,"AAAAAD/9t/0=")</f>
        <v>#REF!</v>
      </c>
      <c r="IU8" t="e">
        <f>AND(Evaluaciones!#REF!,"AAAAAD/9t/4=")</f>
        <v>#REF!</v>
      </c>
      <c r="IV8" t="e">
        <f>AND(Evaluaciones!#REF!,"AAAAAD/9t/8=")</f>
        <v>#REF!</v>
      </c>
    </row>
    <row r="9" spans="1:256" x14ac:dyDescent="0.35">
      <c r="A9" t="e">
        <f>AND(Evaluaciones!#REF!,"AAAAAHpn/QA=")</f>
        <v>#REF!</v>
      </c>
      <c r="B9" t="e">
        <f>AND(Evaluaciones!#REF!,"AAAAAHpn/QE=")</f>
        <v>#REF!</v>
      </c>
      <c r="C9" t="e">
        <f>AND(Evaluaciones!#REF!,"AAAAAHpn/QI=")</f>
        <v>#REF!</v>
      </c>
      <c r="D9" t="e">
        <f>AND(Evaluaciones!#REF!,"AAAAAHpn/QM=")</f>
        <v>#REF!</v>
      </c>
      <c r="E9" t="e">
        <f>AND(Evaluaciones!#REF!,"AAAAAHpn/QQ=")</f>
        <v>#REF!</v>
      </c>
      <c r="F9" t="e">
        <f>AND(Evaluaciones!#REF!,"AAAAAHpn/QU=")</f>
        <v>#REF!</v>
      </c>
      <c r="G9" t="e">
        <f>AND(Evaluaciones!#REF!,"AAAAAHpn/QY=")</f>
        <v>#REF!</v>
      </c>
      <c r="H9" t="e">
        <f>AND(Evaluaciones!#REF!,"AAAAAHpn/Qc=")</f>
        <v>#REF!</v>
      </c>
      <c r="I9" t="e">
        <f>AND(Evaluaciones!#REF!,"AAAAAHpn/Qg=")</f>
        <v>#REF!</v>
      </c>
      <c r="J9" t="e">
        <f>IF(Evaluaciones!#REF!,"AAAAAHpn/Qk=",0)</f>
        <v>#REF!</v>
      </c>
      <c r="K9" t="e">
        <f>AND(Evaluaciones!#REF!,"AAAAAHpn/Qo=")</f>
        <v>#REF!</v>
      </c>
      <c r="L9" t="e">
        <f>AND(Evaluaciones!#REF!,"AAAAAHpn/Qs=")</f>
        <v>#REF!</v>
      </c>
      <c r="M9" t="e">
        <f>AND(Evaluaciones!#REF!,"AAAAAHpn/Qw=")</f>
        <v>#REF!</v>
      </c>
      <c r="N9" t="e">
        <f>AND(Evaluaciones!#REF!,"AAAAAHpn/Q0=")</f>
        <v>#REF!</v>
      </c>
      <c r="O9" t="e">
        <f>AND(Evaluaciones!#REF!,"AAAAAHpn/Q4=")</f>
        <v>#REF!</v>
      </c>
      <c r="P9" t="e">
        <f>AND(Evaluaciones!#REF!,"AAAAAHpn/Q8=")</f>
        <v>#REF!</v>
      </c>
      <c r="Q9" t="e">
        <f>AND(Evaluaciones!#REF!,"AAAAAHpn/RA=")</f>
        <v>#REF!</v>
      </c>
      <c r="R9" t="e">
        <f>AND(Evaluaciones!#REF!,"AAAAAHpn/RE=")</f>
        <v>#REF!</v>
      </c>
      <c r="S9" t="e">
        <f>AND(Evaluaciones!#REF!,"AAAAAHpn/RI=")</f>
        <v>#REF!</v>
      </c>
      <c r="T9" t="e">
        <f>AND(Evaluaciones!#REF!,"AAAAAHpn/RM=")</f>
        <v>#REF!</v>
      </c>
      <c r="U9" t="e">
        <f>AND(Evaluaciones!#REF!,"AAAAAHpn/RQ=")</f>
        <v>#REF!</v>
      </c>
      <c r="V9" t="e">
        <f>AND(Evaluaciones!#REF!,"AAAAAHpn/RU=")</f>
        <v>#REF!</v>
      </c>
      <c r="W9" t="e">
        <f>AND(Evaluaciones!#REF!,"AAAAAHpn/RY=")</f>
        <v>#REF!</v>
      </c>
      <c r="X9" t="e">
        <f>AND(Evaluaciones!#REF!,"AAAAAHpn/Rc=")</f>
        <v>#REF!</v>
      </c>
      <c r="Y9" t="e">
        <f>AND(Evaluaciones!#REF!,"AAAAAHpn/Rg=")</f>
        <v>#REF!</v>
      </c>
      <c r="Z9" t="e">
        <f>IF(Evaluaciones!#REF!,"AAAAAHpn/Rk=",0)</f>
        <v>#REF!</v>
      </c>
      <c r="AA9" t="e">
        <f>AND(Evaluaciones!#REF!,"AAAAAHpn/Ro=")</f>
        <v>#REF!</v>
      </c>
      <c r="AB9" t="e">
        <f>AND(Evaluaciones!#REF!,"AAAAAHpn/Rs=")</f>
        <v>#REF!</v>
      </c>
      <c r="AC9" t="e">
        <f>AND(Evaluaciones!#REF!,"AAAAAHpn/Rw=")</f>
        <v>#REF!</v>
      </c>
      <c r="AD9" t="e">
        <f>AND(Evaluaciones!#REF!,"AAAAAHpn/R0=")</f>
        <v>#REF!</v>
      </c>
      <c r="AE9" t="e">
        <f>AND(Evaluaciones!#REF!,"AAAAAHpn/R4=")</f>
        <v>#REF!</v>
      </c>
      <c r="AF9" t="e">
        <f>AND(Evaluaciones!#REF!,"AAAAAHpn/R8=")</f>
        <v>#REF!</v>
      </c>
      <c r="AG9" t="e">
        <f>AND(Evaluaciones!#REF!,"AAAAAHpn/SA=")</f>
        <v>#REF!</v>
      </c>
      <c r="AH9" t="e">
        <f>AND(Evaluaciones!#REF!,"AAAAAHpn/SE=")</f>
        <v>#REF!</v>
      </c>
      <c r="AI9" t="e">
        <f>AND(Evaluaciones!#REF!,"AAAAAHpn/SI=")</f>
        <v>#REF!</v>
      </c>
      <c r="AJ9" t="e">
        <f>AND(Evaluaciones!#REF!,"AAAAAHpn/SM=")</f>
        <v>#REF!</v>
      </c>
      <c r="AK9" t="e">
        <f>AND(Evaluaciones!#REF!,"AAAAAHpn/SQ=")</f>
        <v>#REF!</v>
      </c>
      <c r="AL9" t="e">
        <f>AND(Evaluaciones!#REF!,"AAAAAHpn/SU=")</f>
        <v>#REF!</v>
      </c>
      <c r="AM9" t="e">
        <f>AND(Evaluaciones!#REF!,"AAAAAHpn/SY=")</f>
        <v>#REF!</v>
      </c>
      <c r="AN9" t="e">
        <f>AND(Evaluaciones!#REF!,"AAAAAHpn/Sc=")</f>
        <v>#REF!</v>
      </c>
      <c r="AO9" t="e">
        <f>AND(Evaluaciones!#REF!,"AAAAAHpn/Sg=")</f>
        <v>#REF!</v>
      </c>
      <c r="AP9" t="e">
        <f>IF(Evaluaciones!#REF!,"AAAAAHpn/Sk=",0)</f>
        <v>#REF!</v>
      </c>
      <c r="AQ9" t="e">
        <f>AND(Evaluaciones!#REF!,"AAAAAHpn/So=")</f>
        <v>#REF!</v>
      </c>
      <c r="AR9" t="e">
        <f>AND(Evaluaciones!#REF!,"AAAAAHpn/Ss=")</f>
        <v>#REF!</v>
      </c>
      <c r="AS9" t="e">
        <f>AND(Evaluaciones!#REF!,"AAAAAHpn/Sw=")</f>
        <v>#REF!</v>
      </c>
      <c r="AT9" t="e">
        <f>AND(Evaluaciones!#REF!,"AAAAAHpn/S0=")</f>
        <v>#REF!</v>
      </c>
      <c r="AU9" t="e">
        <f>AND(Evaluaciones!#REF!,"AAAAAHpn/S4=")</f>
        <v>#REF!</v>
      </c>
      <c r="AV9" t="e">
        <f>AND(Evaluaciones!#REF!,"AAAAAHpn/S8=")</f>
        <v>#REF!</v>
      </c>
      <c r="AW9" t="e">
        <f>AND(Evaluaciones!#REF!,"AAAAAHpn/TA=")</f>
        <v>#REF!</v>
      </c>
      <c r="AX9" t="e">
        <f>AND(Evaluaciones!#REF!,"AAAAAHpn/TE=")</f>
        <v>#REF!</v>
      </c>
      <c r="AY9" t="e">
        <f>AND(Evaluaciones!#REF!,"AAAAAHpn/TI=")</f>
        <v>#REF!</v>
      </c>
      <c r="AZ9" t="e">
        <f>AND(Evaluaciones!#REF!,"AAAAAHpn/TM=")</f>
        <v>#REF!</v>
      </c>
      <c r="BA9" t="e">
        <f>AND(Evaluaciones!#REF!,"AAAAAHpn/TQ=")</f>
        <v>#REF!</v>
      </c>
      <c r="BB9" t="e">
        <f>AND(Evaluaciones!#REF!,"AAAAAHpn/TU=")</f>
        <v>#REF!</v>
      </c>
      <c r="BC9" t="e">
        <f>AND(Evaluaciones!#REF!,"AAAAAHpn/TY=")</f>
        <v>#REF!</v>
      </c>
      <c r="BD9" t="e">
        <f>AND(Evaluaciones!#REF!,"AAAAAHpn/Tc=")</f>
        <v>#REF!</v>
      </c>
      <c r="BE9" t="e">
        <f>AND(Evaluaciones!#REF!,"AAAAAHpn/Tg=")</f>
        <v>#REF!</v>
      </c>
      <c r="BF9" t="e">
        <f>IF(Evaluaciones!#REF!,"AAAAAHpn/Tk=",0)</f>
        <v>#REF!</v>
      </c>
      <c r="BG9" t="e">
        <f>AND(Evaluaciones!#REF!,"AAAAAHpn/To=")</f>
        <v>#REF!</v>
      </c>
      <c r="BH9" t="e">
        <f>AND(Evaluaciones!#REF!,"AAAAAHpn/Ts=")</f>
        <v>#REF!</v>
      </c>
      <c r="BI9" t="e">
        <f>AND(Evaluaciones!#REF!,"AAAAAHpn/Tw=")</f>
        <v>#REF!</v>
      </c>
      <c r="BJ9" t="e">
        <f>AND(Evaluaciones!#REF!,"AAAAAHpn/T0=")</f>
        <v>#REF!</v>
      </c>
      <c r="BK9" t="e">
        <f>AND(Evaluaciones!#REF!,"AAAAAHpn/T4=")</f>
        <v>#REF!</v>
      </c>
      <c r="BL9" t="e">
        <f>AND(Evaluaciones!#REF!,"AAAAAHpn/T8=")</f>
        <v>#REF!</v>
      </c>
      <c r="BM9" t="e">
        <f>AND(Evaluaciones!#REF!,"AAAAAHpn/UA=")</f>
        <v>#REF!</v>
      </c>
      <c r="BN9" t="e">
        <f>AND(Evaluaciones!#REF!,"AAAAAHpn/UE=")</f>
        <v>#REF!</v>
      </c>
      <c r="BO9" t="e">
        <f>AND(Evaluaciones!#REF!,"AAAAAHpn/UI=")</f>
        <v>#REF!</v>
      </c>
      <c r="BP9" t="e">
        <f>AND(Evaluaciones!#REF!,"AAAAAHpn/UM=")</f>
        <v>#REF!</v>
      </c>
      <c r="BQ9" t="e">
        <f>AND(Evaluaciones!#REF!,"AAAAAHpn/UQ=")</f>
        <v>#REF!</v>
      </c>
      <c r="BR9" t="e">
        <f>AND(Evaluaciones!#REF!,"AAAAAHpn/UU=")</f>
        <v>#REF!</v>
      </c>
      <c r="BS9" t="e">
        <f>AND(Evaluaciones!#REF!,"AAAAAHpn/UY=")</f>
        <v>#REF!</v>
      </c>
      <c r="BT9" t="e">
        <f>AND(Evaluaciones!#REF!,"AAAAAHpn/Uc=")</f>
        <v>#REF!</v>
      </c>
      <c r="BU9" t="e">
        <f>AND(Evaluaciones!#REF!,"AAAAAHpn/Ug=")</f>
        <v>#REF!</v>
      </c>
      <c r="BV9" t="e">
        <f>IF(Evaluaciones!#REF!,"AAAAAHpn/Uk=",0)</f>
        <v>#REF!</v>
      </c>
      <c r="BW9" t="e">
        <f>AND(Evaluaciones!#REF!,"AAAAAHpn/Uo=")</f>
        <v>#REF!</v>
      </c>
      <c r="BX9" t="e">
        <f>AND(Evaluaciones!#REF!,"AAAAAHpn/Us=")</f>
        <v>#REF!</v>
      </c>
      <c r="BY9" t="e">
        <f>AND(Evaluaciones!#REF!,"AAAAAHpn/Uw=")</f>
        <v>#REF!</v>
      </c>
      <c r="BZ9" t="e">
        <f>AND(Evaluaciones!#REF!,"AAAAAHpn/U0=")</f>
        <v>#REF!</v>
      </c>
      <c r="CA9" t="e">
        <f>AND(Evaluaciones!#REF!,"AAAAAHpn/U4=")</f>
        <v>#REF!</v>
      </c>
      <c r="CB9" t="e">
        <f>AND(Evaluaciones!#REF!,"AAAAAHpn/U8=")</f>
        <v>#REF!</v>
      </c>
      <c r="CC9" t="e">
        <f>AND(Evaluaciones!#REF!,"AAAAAHpn/VA=")</f>
        <v>#REF!</v>
      </c>
      <c r="CD9" t="e">
        <f>AND(Evaluaciones!#REF!,"AAAAAHpn/VE=")</f>
        <v>#REF!</v>
      </c>
      <c r="CE9" t="e">
        <f>AND(Evaluaciones!#REF!,"AAAAAHpn/VI=")</f>
        <v>#REF!</v>
      </c>
      <c r="CF9" t="e">
        <f>AND(Evaluaciones!#REF!,"AAAAAHpn/VM=")</f>
        <v>#REF!</v>
      </c>
      <c r="CG9" t="e">
        <f>AND(Evaluaciones!#REF!,"AAAAAHpn/VQ=")</f>
        <v>#REF!</v>
      </c>
      <c r="CH9" t="e">
        <f>AND(Evaluaciones!#REF!,"AAAAAHpn/VU=")</f>
        <v>#REF!</v>
      </c>
      <c r="CI9" t="e">
        <f>AND(Evaluaciones!#REF!,"AAAAAHpn/VY=")</f>
        <v>#REF!</v>
      </c>
      <c r="CJ9" t="e">
        <f>AND(Evaluaciones!#REF!,"AAAAAHpn/Vc=")</f>
        <v>#REF!</v>
      </c>
      <c r="CK9" t="e">
        <f>AND(Evaluaciones!#REF!,"AAAAAHpn/Vg=")</f>
        <v>#REF!</v>
      </c>
      <c r="CL9" t="e">
        <f>IF(Evaluaciones!A:A,"AAAAAHpn/Vk=",0)</f>
        <v>#VALUE!</v>
      </c>
      <c r="CM9" t="e">
        <f>IF(Evaluaciones!#REF!,"AAAAAHpn/Vo=",0)</f>
        <v>#REF!</v>
      </c>
      <c r="CN9" t="str">
        <f>IF(Evaluaciones!B:B,"AAAAAHpn/Vs=",0)</f>
        <v>AAAAAHpn/Vs=</v>
      </c>
      <c r="CO9" t="str">
        <f>IF(Evaluaciones!C:C,"AAAAAHpn/Vw=",0)</f>
        <v>AAAAAHpn/Vw=</v>
      </c>
      <c r="CP9" t="str">
        <f>IF(Evaluaciones!D:D,"AAAAAHpn/V0=",0)</f>
        <v>AAAAAHpn/V0=</v>
      </c>
      <c r="CQ9" t="str">
        <f>IF(Evaluaciones!E:E,"AAAAAHpn/V4=",0)</f>
        <v>AAAAAHpn/V4=</v>
      </c>
      <c r="CR9" t="e">
        <f>IF(Evaluaciones!#REF!,"AAAAAHpn/V8=",0)</f>
        <v>#REF!</v>
      </c>
      <c r="CS9" t="e">
        <f>IF(Evaluaciones!#REF!,"AAAAAHpn/WA=",0)</f>
        <v>#REF!</v>
      </c>
      <c r="CT9" t="e">
        <f>IF(Evaluaciones!#REF!,"AAAAAHpn/WE=",0)</f>
        <v>#REF!</v>
      </c>
      <c r="CU9" t="e">
        <f>IF(Evaluaciones!#REF!,"AAAAAHpn/WI=",0)</f>
        <v>#REF!</v>
      </c>
      <c r="CV9" t="e">
        <f>IF(Evaluaciones!#REF!,"AAAAAHpn/WM=",0)</f>
        <v>#REF!</v>
      </c>
      <c r="CW9" t="e">
        <f>IF(Evaluaciones!#REF!,"AAAAAHpn/WQ=",0)</f>
        <v>#REF!</v>
      </c>
      <c r="CX9" t="e">
        <f>IF(Evaluaciones!#REF!,"AAAAAHpn/WU=",0)</f>
        <v>#REF!</v>
      </c>
      <c r="CY9" t="e">
        <f>IF(Evaluaciones!#REF!,"AAAAAHpn/WY=",0)</f>
        <v>#REF!</v>
      </c>
      <c r="CZ9" t="str">
        <f>IF(Evaluaciones!F:F,"AAAAAHpn/Wc=",0)</f>
        <v>AAAAAHpn/Wc=</v>
      </c>
      <c r="DA9">
        <f>IF(Proyecto!1:1,"AAAAAHpn/Wg=",0)</f>
        <v>0</v>
      </c>
      <c r="DB9" t="e">
        <f>AND(Proyecto!A1,"AAAAAHpn/Wk=")</f>
        <v>#VALUE!</v>
      </c>
      <c r="DC9" t="e">
        <f>AND(Proyecto!#REF!,"AAAAAHpn/Wo=")</f>
        <v>#REF!</v>
      </c>
      <c r="DD9" t="e">
        <f>AND(Proyecto!B1,"AAAAAHpn/Ws=")</f>
        <v>#VALUE!</v>
      </c>
      <c r="DE9" t="e">
        <f>AND(Proyecto!C1,"AAAAAHpn/Ww=")</f>
        <v>#VALUE!</v>
      </c>
      <c r="DF9" t="e">
        <f>AND(Proyecto!D1,"AAAAAHpn/W0=")</f>
        <v>#VALUE!</v>
      </c>
      <c r="DG9" t="e">
        <f>AND(Proyecto!E1,"AAAAAHpn/W4=")</f>
        <v>#VALUE!</v>
      </c>
      <c r="DH9" t="e">
        <f>AND(Proyecto!F1,"AAAAAHpn/W8=")</f>
        <v>#VALUE!</v>
      </c>
      <c r="DI9" t="e">
        <f>AND(Proyecto!G1,"AAAAAHpn/XA=")</f>
        <v>#VALUE!</v>
      </c>
      <c r="DJ9" t="e">
        <f>AND(Proyecto!H1,"AAAAAHpn/XE=")</f>
        <v>#VALUE!</v>
      </c>
      <c r="DK9" t="e">
        <f>AND(Proyecto!I1,"AAAAAHpn/XI=")</f>
        <v>#VALUE!</v>
      </c>
      <c r="DL9" t="e">
        <f>AND(Proyecto!J1,"AAAAAHpn/XM=")</f>
        <v>#VALUE!</v>
      </c>
      <c r="DM9" t="e">
        <f>AND(Proyecto!K1,"AAAAAHpn/XQ=")</f>
        <v>#VALUE!</v>
      </c>
      <c r="DN9" t="e">
        <f>AND(Proyecto!L1,"AAAAAHpn/XU=")</f>
        <v>#VALUE!</v>
      </c>
      <c r="DO9" t="e">
        <f>AND(Proyecto!M1,"AAAAAHpn/XY=")</f>
        <v>#VALUE!</v>
      </c>
      <c r="DP9" t="e">
        <f>AND(Proyecto!N1,"AAAAAHpn/Xc=")</f>
        <v>#VALUE!</v>
      </c>
      <c r="DQ9" t="e">
        <f>AND(Proyecto!O1,"AAAAAHpn/Xg=")</f>
        <v>#VALUE!</v>
      </c>
      <c r="DR9">
        <f>IF(Proyecto!2:2,"AAAAAHpn/Xk=",0)</f>
        <v>0</v>
      </c>
      <c r="DS9" t="e">
        <f>AND(Proyecto!A2,"AAAAAHpn/Xo=")</f>
        <v>#VALUE!</v>
      </c>
      <c r="DT9" t="e">
        <f>AND(Proyecto!#REF!,"AAAAAHpn/Xs=")</f>
        <v>#REF!</v>
      </c>
      <c r="DU9" t="e">
        <f>AND(Proyecto!B2,"AAAAAHpn/Xw=")</f>
        <v>#VALUE!</v>
      </c>
      <c r="DV9" t="e">
        <f>AND(Proyecto!C2,"AAAAAHpn/X0=")</f>
        <v>#VALUE!</v>
      </c>
      <c r="DW9" t="e">
        <f>AND(Proyecto!D2,"AAAAAHpn/X4=")</f>
        <v>#VALUE!</v>
      </c>
      <c r="DX9" t="e">
        <f>AND(Proyecto!E2,"AAAAAHpn/X8=")</f>
        <v>#VALUE!</v>
      </c>
      <c r="DY9" t="e">
        <f>AND(Proyecto!F2,"AAAAAHpn/YA=")</f>
        <v>#VALUE!</v>
      </c>
      <c r="DZ9" t="e">
        <f>AND(Proyecto!G2,"AAAAAHpn/YE=")</f>
        <v>#VALUE!</v>
      </c>
      <c r="EA9" t="e">
        <f>AND(Proyecto!H2,"AAAAAHpn/YI=")</f>
        <v>#VALUE!</v>
      </c>
      <c r="EB9" t="e">
        <f>AND(Proyecto!I2,"AAAAAHpn/YM=")</f>
        <v>#VALUE!</v>
      </c>
      <c r="EC9" t="e">
        <f>AND(Proyecto!J2,"AAAAAHpn/YQ=")</f>
        <v>#VALUE!</v>
      </c>
      <c r="ED9" t="e">
        <f>AND(Proyecto!K2,"AAAAAHpn/YU=")</f>
        <v>#VALUE!</v>
      </c>
      <c r="EE9" t="e">
        <f>AND(Proyecto!L2,"AAAAAHpn/YY=")</f>
        <v>#VALUE!</v>
      </c>
      <c r="EF9" t="e">
        <f>AND(Proyecto!M2,"AAAAAHpn/Yc=")</f>
        <v>#VALUE!</v>
      </c>
      <c r="EG9" t="e">
        <f>AND(Proyecto!N2,"AAAAAHpn/Yg=")</f>
        <v>#VALUE!</v>
      </c>
      <c r="EH9" t="e">
        <f>AND(Proyecto!O2,"AAAAAHpn/Yk=")</f>
        <v>#VALUE!</v>
      </c>
      <c r="EI9" t="e">
        <f>IF(Proyecto!#REF!,"AAAAAHpn/Yo=",0)</f>
        <v>#REF!</v>
      </c>
      <c r="EJ9" t="e">
        <f>AND(Proyecto!#REF!,"AAAAAHpn/Ys=")</f>
        <v>#REF!</v>
      </c>
      <c r="EK9" t="e">
        <f>AND(Proyecto!#REF!,"AAAAAHpn/Yw=")</f>
        <v>#REF!</v>
      </c>
      <c r="EL9" t="e">
        <f>AND(Proyecto!#REF!,"AAAAAHpn/Y0=")</f>
        <v>#REF!</v>
      </c>
      <c r="EM9" t="e">
        <f>AND(Proyecto!#REF!,"AAAAAHpn/Y4=")</f>
        <v>#REF!</v>
      </c>
      <c r="EN9" t="e">
        <f>AND(Proyecto!#REF!,"AAAAAHpn/Y8=")</f>
        <v>#REF!</v>
      </c>
      <c r="EO9" t="e">
        <f>AND(Proyecto!#REF!,"AAAAAHpn/ZA=")</f>
        <v>#REF!</v>
      </c>
      <c r="EP9" t="e">
        <f>AND(Proyecto!#REF!,"AAAAAHpn/ZE=")</f>
        <v>#REF!</v>
      </c>
      <c r="EQ9" t="e">
        <f>AND(Proyecto!#REF!,"AAAAAHpn/ZI=")</f>
        <v>#REF!</v>
      </c>
      <c r="ER9" t="e">
        <f>AND(Proyecto!#REF!,"AAAAAHpn/ZM=")</f>
        <v>#REF!</v>
      </c>
      <c r="ES9" t="e">
        <f>AND(Proyecto!#REF!,"AAAAAHpn/ZQ=")</f>
        <v>#REF!</v>
      </c>
      <c r="ET9" t="e">
        <f>AND(Proyecto!#REF!,"AAAAAHpn/ZU=")</f>
        <v>#REF!</v>
      </c>
      <c r="EU9" t="e">
        <f>AND(Proyecto!#REF!,"AAAAAHpn/ZY=")</f>
        <v>#REF!</v>
      </c>
      <c r="EV9" t="e">
        <f>AND(Proyecto!#REF!,"AAAAAHpn/Zc=")</f>
        <v>#REF!</v>
      </c>
      <c r="EW9" t="e">
        <f>AND(Proyecto!#REF!,"AAAAAHpn/Zg=")</f>
        <v>#REF!</v>
      </c>
      <c r="EX9" t="e">
        <f>AND(Proyecto!#REF!,"AAAAAHpn/Zk=")</f>
        <v>#REF!</v>
      </c>
      <c r="EY9" t="e">
        <f>AND(Proyecto!#REF!,"AAAAAHpn/Zo=")</f>
        <v>#REF!</v>
      </c>
      <c r="EZ9" t="e">
        <f>IF(Proyecto!#REF!,"AAAAAHpn/Zs=",0)</f>
        <v>#REF!</v>
      </c>
      <c r="FA9" t="e">
        <f>AND(Proyecto!#REF!,"AAAAAHpn/Zw=")</f>
        <v>#REF!</v>
      </c>
      <c r="FB9" t="e">
        <f>AND(Proyecto!#REF!,"AAAAAHpn/Z0=")</f>
        <v>#REF!</v>
      </c>
      <c r="FC9" t="e">
        <f>AND(Proyecto!#REF!,"AAAAAHpn/Z4=")</f>
        <v>#REF!</v>
      </c>
      <c r="FD9" t="e">
        <f>AND(Proyecto!#REF!,"AAAAAHpn/Z8=")</f>
        <v>#REF!</v>
      </c>
      <c r="FE9" t="e">
        <f>AND(Proyecto!#REF!,"AAAAAHpn/aA=")</f>
        <v>#REF!</v>
      </c>
      <c r="FF9" t="e">
        <f>AND(Proyecto!#REF!,"AAAAAHpn/aE=")</f>
        <v>#REF!</v>
      </c>
      <c r="FG9" t="e">
        <f>AND(Proyecto!#REF!,"AAAAAHpn/aI=")</f>
        <v>#REF!</v>
      </c>
      <c r="FH9" t="e">
        <f>AND(Proyecto!#REF!,"AAAAAHpn/aM=")</f>
        <v>#REF!</v>
      </c>
      <c r="FI9" t="e">
        <f>AND(Proyecto!#REF!,"AAAAAHpn/aQ=")</f>
        <v>#REF!</v>
      </c>
      <c r="FJ9" t="e">
        <f>AND(Proyecto!#REF!,"AAAAAHpn/aU=")</f>
        <v>#REF!</v>
      </c>
      <c r="FK9" t="e">
        <f>AND(Proyecto!#REF!,"AAAAAHpn/aY=")</f>
        <v>#REF!</v>
      </c>
      <c r="FL9" t="e">
        <f>AND(Proyecto!#REF!,"AAAAAHpn/ac=")</f>
        <v>#REF!</v>
      </c>
      <c r="FM9" t="e">
        <f>AND(Proyecto!#REF!,"AAAAAHpn/ag=")</f>
        <v>#REF!</v>
      </c>
      <c r="FN9" t="e">
        <f>AND(Proyecto!#REF!,"AAAAAHpn/ak=")</f>
        <v>#REF!</v>
      </c>
      <c r="FO9" t="e">
        <f>AND(Proyecto!#REF!,"AAAAAHpn/ao=")</f>
        <v>#REF!</v>
      </c>
      <c r="FP9" t="e">
        <f>AND(Proyecto!#REF!,"AAAAAHpn/as=")</f>
        <v>#REF!</v>
      </c>
      <c r="FQ9" t="e">
        <f>IF(Proyecto!#REF!,"AAAAAHpn/aw=",0)</f>
        <v>#REF!</v>
      </c>
      <c r="FR9" t="e">
        <f>AND(Proyecto!#REF!,"AAAAAHpn/a0=")</f>
        <v>#REF!</v>
      </c>
      <c r="FS9" t="e">
        <f>AND(Proyecto!#REF!,"AAAAAHpn/a4=")</f>
        <v>#REF!</v>
      </c>
      <c r="FT9" t="e">
        <f>AND(Proyecto!#REF!,"AAAAAHpn/a8=")</f>
        <v>#REF!</v>
      </c>
      <c r="FU9" t="e">
        <f>AND(Proyecto!#REF!,"AAAAAHpn/bA=")</f>
        <v>#REF!</v>
      </c>
      <c r="FV9" t="e">
        <f>AND(Proyecto!#REF!,"AAAAAHpn/bE=")</f>
        <v>#REF!</v>
      </c>
      <c r="FW9" t="e">
        <f>AND(Proyecto!#REF!,"AAAAAHpn/bI=")</f>
        <v>#REF!</v>
      </c>
      <c r="FX9" t="e">
        <f>AND(Proyecto!#REF!,"AAAAAHpn/bM=")</f>
        <v>#REF!</v>
      </c>
      <c r="FY9" t="e">
        <f>AND(Proyecto!#REF!,"AAAAAHpn/bQ=")</f>
        <v>#REF!</v>
      </c>
      <c r="FZ9" t="e">
        <f>AND(Proyecto!#REF!,"AAAAAHpn/bU=")</f>
        <v>#REF!</v>
      </c>
      <c r="GA9" t="e">
        <f>AND(Proyecto!#REF!,"AAAAAHpn/bY=")</f>
        <v>#REF!</v>
      </c>
      <c r="GB9" t="e">
        <f>AND(Proyecto!#REF!,"AAAAAHpn/bc=")</f>
        <v>#REF!</v>
      </c>
      <c r="GC9" t="e">
        <f>AND(Proyecto!#REF!,"AAAAAHpn/bg=")</f>
        <v>#REF!</v>
      </c>
      <c r="GD9" t="e">
        <f>AND(Proyecto!#REF!,"AAAAAHpn/bk=")</f>
        <v>#REF!</v>
      </c>
      <c r="GE9" t="e">
        <f>AND(Proyecto!#REF!,"AAAAAHpn/bo=")</f>
        <v>#REF!</v>
      </c>
      <c r="GF9" t="e">
        <f>AND(Proyecto!#REF!,"AAAAAHpn/bs=")</f>
        <v>#REF!</v>
      </c>
      <c r="GG9" t="e">
        <f>AND(Proyecto!#REF!,"AAAAAHpn/bw=")</f>
        <v>#REF!</v>
      </c>
      <c r="GH9">
        <f>IF(Proyecto!3:3,"AAAAAHpn/b0=",0)</f>
        <v>0</v>
      </c>
      <c r="GI9" t="e">
        <f>AND(Proyecto!A3,"AAAAAHpn/b4=")</f>
        <v>#VALUE!</v>
      </c>
      <c r="GJ9" t="e">
        <f>AND(Proyecto!#REF!,"AAAAAHpn/b8=")</f>
        <v>#REF!</v>
      </c>
      <c r="GK9" t="e">
        <f>AND(Proyecto!B3,"AAAAAHpn/cA=")</f>
        <v>#VALUE!</v>
      </c>
      <c r="GL9" t="e">
        <f>AND(Proyecto!C3,"AAAAAHpn/cE=")</f>
        <v>#VALUE!</v>
      </c>
      <c r="GM9" t="e">
        <f>AND(Proyecto!D3,"AAAAAHpn/cI=")</f>
        <v>#VALUE!</v>
      </c>
      <c r="GN9" t="e">
        <f>AND(Proyecto!E3,"AAAAAHpn/cM=")</f>
        <v>#VALUE!</v>
      </c>
      <c r="GO9" t="e">
        <f>AND(Proyecto!F3,"AAAAAHpn/cQ=")</f>
        <v>#VALUE!</v>
      </c>
      <c r="GP9" t="e">
        <f>AND(Proyecto!G3,"AAAAAHpn/cU=")</f>
        <v>#VALUE!</v>
      </c>
      <c r="GQ9" t="e">
        <f>AND(Proyecto!H3,"AAAAAHpn/cY=")</f>
        <v>#VALUE!</v>
      </c>
      <c r="GR9" t="e">
        <f>AND(Proyecto!I3,"AAAAAHpn/cc=")</f>
        <v>#VALUE!</v>
      </c>
      <c r="GS9" t="e">
        <f>AND(Proyecto!J3,"AAAAAHpn/cg=")</f>
        <v>#VALUE!</v>
      </c>
      <c r="GT9" t="e">
        <f>AND(Proyecto!K3,"AAAAAHpn/ck=")</f>
        <v>#VALUE!</v>
      </c>
      <c r="GU9" t="e">
        <f>AND(Proyecto!L3,"AAAAAHpn/co=")</f>
        <v>#VALUE!</v>
      </c>
      <c r="GV9" t="e">
        <f>AND(Proyecto!M3,"AAAAAHpn/cs=")</f>
        <v>#VALUE!</v>
      </c>
      <c r="GW9" t="e">
        <f>AND(Proyecto!N3,"AAAAAHpn/cw=")</f>
        <v>#VALUE!</v>
      </c>
      <c r="GX9" t="e">
        <f>AND(Proyecto!O3,"AAAAAHpn/c0=")</f>
        <v>#VALUE!</v>
      </c>
      <c r="GY9">
        <f>IF(Proyecto!4:4,"AAAAAHpn/c4=",0)</f>
        <v>0</v>
      </c>
      <c r="GZ9" t="e">
        <f>AND(Proyecto!A4,"AAAAAHpn/c8=")</f>
        <v>#VALUE!</v>
      </c>
      <c r="HA9" t="e">
        <f>AND(Proyecto!#REF!,"AAAAAHpn/dA=")</f>
        <v>#REF!</v>
      </c>
      <c r="HB9" t="e">
        <f>AND(Proyecto!B4,"AAAAAHpn/dE=")</f>
        <v>#VALUE!</v>
      </c>
      <c r="HC9" t="e">
        <f>AND(Proyecto!C4,"AAAAAHpn/dI=")</f>
        <v>#VALUE!</v>
      </c>
      <c r="HD9" t="e">
        <f>AND(Proyecto!D4,"AAAAAHpn/dM=")</f>
        <v>#VALUE!</v>
      </c>
      <c r="HE9" t="e">
        <f>AND(Proyecto!E4,"AAAAAHpn/dQ=")</f>
        <v>#VALUE!</v>
      </c>
      <c r="HF9" t="e">
        <f>AND(Proyecto!F4,"AAAAAHpn/dU=")</f>
        <v>#VALUE!</v>
      </c>
      <c r="HG9" t="e">
        <f>AND(Proyecto!G4,"AAAAAHpn/dY=")</f>
        <v>#VALUE!</v>
      </c>
      <c r="HH9" t="e">
        <f>AND(Proyecto!H4,"AAAAAHpn/dc=")</f>
        <v>#VALUE!</v>
      </c>
      <c r="HI9" t="e">
        <f>AND(Proyecto!I4,"AAAAAHpn/dg=")</f>
        <v>#VALUE!</v>
      </c>
      <c r="HJ9" t="e">
        <f>AND(Proyecto!J4,"AAAAAHpn/dk=")</f>
        <v>#VALUE!</v>
      </c>
      <c r="HK9" t="e">
        <f>AND(Proyecto!K4,"AAAAAHpn/do=")</f>
        <v>#VALUE!</v>
      </c>
      <c r="HL9" t="e">
        <f>AND(Proyecto!L4,"AAAAAHpn/ds=")</f>
        <v>#VALUE!</v>
      </c>
      <c r="HM9" t="e">
        <f>AND(Proyecto!M4,"AAAAAHpn/dw=")</f>
        <v>#VALUE!</v>
      </c>
      <c r="HN9" t="e">
        <f>AND(Proyecto!N4,"AAAAAHpn/d0=")</f>
        <v>#VALUE!</v>
      </c>
      <c r="HO9" t="e">
        <f>AND(Proyecto!O4,"AAAAAHpn/d4=")</f>
        <v>#VALUE!</v>
      </c>
      <c r="HP9">
        <f>IF(Proyecto!5:5,"AAAAAHpn/d8=",0)</f>
        <v>0</v>
      </c>
      <c r="HQ9" t="e">
        <f>AND(Proyecto!A5,"AAAAAHpn/eA=")</f>
        <v>#VALUE!</v>
      </c>
      <c r="HR9" t="e">
        <f>AND(Proyecto!#REF!,"AAAAAHpn/eE=")</f>
        <v>#REF!</v>
      </c>
      <c r="HS9" t="e">
        <f>AND(Proyecto!B5,"AAAAAHpn/eI=")</f>
        <v>#VALUE!</v>
      </c>
      <c r="HT9" t="e">
        <f>AND(Proyecto!C5,"AAAAAHpn/eM=")</f>
        <v>#VALUE!</v>
      </c>
      <c r="HU9" t="e">
        <f>AND(Proyecto!D5,"AAAAAHpn/eQ=")</f>
        <v>#VALUE!</v>
      </c>
      <c r="HV9" t="e">
        <f>AND(Proyecto!E5,"AAAAAHpn/eU=")</f>
        <v>#VALUE!</v>
      </c>
      <c r="HW9" t="e">
        <f>AND(Proyecto!F5,"AAAAAHpn/eY=")</f>
        <v>#VALUE!</v>
      </c>
      <c r="HX9" t="e">
        <f>AND(Proyecto!G5,"AAAAAHpn/ec=")</f>
        <v>#VALUE!</v>
      </c>
      <c r="HY9" t="e">
        <f>AND(Proyecto!H5,"AAAAAHpn/eg=")</f>
        <v>#VALUE!</v>
      </c>
      <c r="HZ9" t="e">
        <f>AND(Proyecto!I5,"AAAAAHpn/ek=")</f>
        <v>#VALUE!</v>
      </c>
      <c r="IA9" t="e">
        <f>AND(Proyecto!J5,"AAAAAHpn/eo=")</f>
        <v>#VALUE!</v>
      </c>
      <c r="IB9" t="e">
        <f>AND(Proyecto!K5,"AAAAAHpn/es=")</f>
        <v>#VALUE!</v>
      </c>
      <c r="IC9" t="e">
        <f>AND(Proyecto!L5,"AAAAAHpn/ew=")</f>
        <v>#VALUE!</v>
      </c>
      <c r="ID9" t="e">
        <f>AND(Proyecto!M5,"AAAAAHpn/e0=")</f>
        <v>#VALUE!</v>
      </c>
      <c r="IE9" t="e">
        <f>AND(Proyecto!N5,"AAAAAHpn/e4=")</f>
        <v>#VALUE!</v>
      </c>
      <c r="IF9" t="e">
        <f>AND(Proyecto!O5,"AAAAAHpn/e8=")</f>
        <v>#VALUE!</v>
      </c>
      <c r="IG9">
        <f>IF(Proyecto!6:6,"AAAAAHpn/fA=",0)</f>
        <v>0</v>
      </c>
      <c r="IH9" t="e">
        <f>AND(Proyecto!A6,"AAAAAHpn/fE=")</f>
        <v>#VALUE!</v>
      </c>
      <c r="II9" t="e">
        <f>AND(Proyecto!#REF!,"AAAAAHpn/fI=")</f>
        <v>#REF!</v>
      </c>
      <c r="IJ9" t="e">
        <f>AND(Proyecto!B6,"AAAAAHpn/fM=")</f>
        <v>#VALUE!</v>
      </c>
      <c r="IK9" t="e">
        <f>AND(Proyecto!C6,"AAAAAHpn/fQ=")</f>
        <v>#VALUE!</v>
      </c>
      <c r="IL9" t="e">
        <f>AND(Proyecto!D6,"AAAAAHpn/fU=")</f>
        <v>#VALUE!</v>
      </c>
      <c r="IM9" t="e">
        <f>AND(Proyecto!E6,"AAAAAHpn/fY=")</f>
        <v>#VALUE!</v>
      </c>
      <c r="IN9" t="e">
        <f>AND(Proyecto!F6,"AAAAAHpn/fc=")</f>
        <v>#VALUE!</v>
      </c>
      <c r="IO9" t="e">
        <f>AND(Proyecto!G6,"AAAAAHpn/fg=")</f>
        <v>#VALUE!</v>
      </c>
      <c r="IP9" t="e">
        <f>AND(Proyecto!H6,"AAAAAHpn/fk=")</f>
        <v>#VALUE!</v>
      </c>
      <c r="IQ9" t="e">
        <f>AND(Proyecto!I6,"AAAAAHpn/fo=")</f>
        <v>#VALUE!</v>
      </c>
      <c r="IR9" t="e">
        <f>AND(Proyecto!J6,"AAAAAHpn/fs=")</f>
        <v>#VALUE!</v>
      </c>
      <c r="IS9" t="e">
        <f>AND(Proyecto!K6,"AAAAAHpn/fw=")</f>
        <v>#VALUE!</v>
      </c>
      <c r="IT9" t="e">
        <f>AND(Proyecto!L6,"AAAAAHpn/f0=")</f>
        <v>#VALUE!</v>
      </c>
      <c r="IU9" t="e">
        <f>AND(Proyecto!M6,"AAAAAHpn/f4=")</f>
        <v>#VALUE!</v>
      </c>
      <c r="IV9" t="e">
        <f>AND(Proyecto!N6,"AAAAAHpn/f8=")</f>
        <v>#VALUE!</v>
      </c>
    </row>
    <row r="10" spans="1:256" x14ac:dyDescent="0.35">
      <c r="A10" t="e">
        <f>AND(Proyecto!O6,"AAAAAD/vvQA=")</f>
        <v>#VALUE!</v>
      </c>
      <c r="B10" t="e">
        <f>IF(Proyecto!#REF!,"AAAAAD/vvQE=",0)</f>
        <v>#REF!</v>
      </c>
      <c r="C10" t="e">
        <f>AND(Proyecto!#REF!,"AAAAAD/vvQI=")</f>
        <v>#REF!</v>
      </c>
      <c r="D10" t="e">
        <f>AND(Proyecto!#REF!,"AAAAAD/vvQM=")</f>
        <v>#REF!</v>
      </c>
      <c r="E10" t="e">
        <f>AND(Proyecto!#REF!,"AAAAAD/vvQQ=")</f>
        <v>#REF!</v>
      </c>
      <c r="F10" t="e">
        <f>AND(Proyecto!#REF!,"AAAAAD/vvQU=")</f>
        <v>#REF!</v>
      </c>
      <c r="G10" t="e">
        <f>AND(Proyecto!#REF!,"AAAAAD/vvQY=")</f>
        <v>#REF!</v>
      </c>
      <c r="H10" t="e">
        <f>AND(Proyecto!#REF!,"AAAAAD/vvQc=")</f>
        <v>#REF!</v>
      </c>
      <c r="I10" t="e">
        <f>AND(Proyecto!#REF!,"AAAAAD/vvQg=")</f>
        <v>#REF!</v>
      </c>
      <c r="J10" t="e">
        <f>AND(Proyecto!#REF!,"AAAAAD/vvQk=")</f>
        <v>#REF!</v>
      </c>
      <c r="K10" t="e">
        <f>AND(Proyecto!#REF!,"AAAAAD/vvQo=")</f>
        <v>#REF!</v>
      </c>
      <c r="L10" t="e">
        <f>AND(Proyecto!#REF!,"AAAAAD/vvQs=")</f>
        <v>#REF!</v>
      </c>
      <c r="M10" t="e">
        <f>AND(Proyecto!#REF!,"AAAAAD/vvQw=")</f>
        <v>#REF!</v>
      </c>
      <c r="N10" t="e">
        <f>AND(Proyecto!#REF!,"AAAAAD/vvQ0=")</f>
        <v>#REF!</v>
      </c>
      <c r="O10" t="e">
        <f>AND(Proyecto!#REF!,"AAAAAD/vvQ4=")</f>
        <v>#REF!</v>
      </c>
      <c r="P10" t="e">
        <f>AND(Proyecto!#REF!,"AAAAAD/vvQ8=")</f>
        <v>#REF!</v>
      </c>
      <c r="Q10" t="e">
        <f>AND(Proyecto!#REF!,"AAAAAD/vvRA=")</f>
        <v>#REF!</v>
      </c>
      <c r="R10" t="e">
        <f>AND(Proyecto!#REF!,"AAAAAD/vvRE=")</f>
        <v>#REF!</v>
      </c>
      <c r="S10">
        <f>IF(Proyecto!7:7,"AAAAAD/vvRI=",0)</f>
        <v>0</v>
      </c>
      <c r="T10" t="e">
        <f>AND(Proyecto!A7,"AAAAAD/vvRM=")</f>
        <v>#VALUE!</v>
      </c>
      <c r="U10" t="e">
        <f>AND(Proyecto!#REF!,"AAAAAD/vvRQ=")</f>
        <v>#REF!</v>
      </c>
      <c r="V10" t="e">
        <f>AND(Proyecto!B7,"AAAAAD/vvRU=")</f>
        <v>#VALUE!</v>
      </c>
      <c r="W10" t="e">
        <f>AND(Proyecto!C7,"AAAAAD/vvRY=")</f>
        <v>#VALUE!</v>
      </c>
      <c r="X10" t="e">
        <f>AND(Proyecto!D7,"AAAAAD/vvRc=")</f>
        <v>#VALUE!</v>
      </c>
      <c r="Y10" t="e">
        <f>AND(Proyecto!E7,"AAAAAD/vvRg=")</f>
        <v>#VALUE!</v>
      </c>
      <c r="Z10" t="e">
        <f>AND(Proyecto!F7,"AAAAAD/vvRk=")</f>
        <v>#VALUE!</v>
      </c>
      <c r="AA10" t="e">
        <f>AND(Proyecto!G7,"AAAAAD/vvRo=")</f>
        <v>#VALUE!</v>
      </c>
      <c r="AB10" t="e">
        <f>AND(Proyecto!H7,"AAAAAD/vvRs=")</f>
        <v>#VALUE!</v>
      </c>
      <c r="AC10" t="e">
        <f>AND(Proyecto!I7,"AAAAAD/vvRw=")</f>
        <v>#VALUE!</v>
      </c>
      <c r="AD10" t="e">
        <f>AND(Proyecto!J7,"AAAAAD/vvR0=")</f>
        <v>#VALUE!</v>
      </c>
      <c r="AE10" t="e">
        <f>AND(Proyecto!K7,"AAAAAD/vvR4=")</f>
        <v>#VALUE!</v>
      </c>
      <c r="AF10" t="e">
        <f>AND(Proyecto!L7,"AAAAAD/vvR8=")</f>
        <v>#VALUE!</v>
      </c>
      <c r="AG10" t="e">
        <f>AND(Proyecto!M7,"AAAAAD/vvSA=")</f>
        <v>#VALUE!</v>
      </c>
      <c r="AH10" t="e">
        <f>AND(Proyecto!N7,"AAAAAD/vvSE=")</f>
        <v>#VALUE!</v>
      </c>
      <c r="AI10" t="e">
        <f>AND(Proyecto!O7,"AAAAAD/vvSI=")</f>
        <v>#VALUE!</v>
      </c>
      <c r="AJ10" t="e">
        <f>IF(Proyecto!#REF!,"AAAAAD/vvSM=",0)</f>
        <v>#REF!</v>
      </c>
      <c r="AK10" t="e">
        <f>AND(Proyecto!#REF!,"AAAAAD/vvSQ=")</f>
        <v>#REF!</v>
      </c>
      <c r="AL10" t="e">
        <f>AND(Proyecto!#REF!,"AAAAAD/vvSU=")</f>
        <v>#REF!</v>
      </c>
      <c r="AM10" t="e">
        <f>AND(Proyecto!#REF!,"AAAAAD/vvSY=")</f>
        <v>#REF!</v>
      </c>
      <c r="AN10" t="e">
        <f>AND(Proyecto!#REF!,"AAAAAD/vvSc=")</f>
        <v>#REF!</v>
      </c>
      <c r="AO10" t="e">
        <f>AND(Proyecto!#REF!,"AAAAAD/vvSg=")</f>
        <v>#REF!</v>
      </c>
      <c r="AP10" t="e">
        <f>AND(Proyecto!#REF!,"AAAAAD/vvSk=")</f>
        <v>#REF!</v>
      </c>
      <c r="AQ10" t="e">
        <f>AND(Proyecto!#REF!,"AAAAAD/vvSo=")</f>
        <v>#REF!</v>
      </c>
      <c r="AR10" t="e">
        <f>AND(Proyecto!#REF!,"AAAAAD/vvSs=")</f>
        <v>#REF!</v>
      </c>
      <c r="AS10" t="e">
        <f>AND(Proyecto!#REF!,"AAAAAD/vvSw=")</f>
        <v>#REF!</v>
      </c>
      <c r="AT10" t="e">
        <f>AND(Proyecto!#REF!,"AAAAAD/vvS0=")</f>
        <v>#REF!</v>
      </c>
      <c r="AU10" t="e">
        <f>AND(Proyecto!#REF!,"AAAAAD/vvS4=")</f>
        <v>#REF!</v>
      </c>
      <c r="AV10" t="e">
        <f>AND(Proyecto!#REF!,"AAAAAD/vvS8=")</f>
        <v>#REF!</v>
      </c>
      <c r="AW10" t="e">
        <f>AND(Proyecto!#REF!,"AAAAAD/vvTA=")</f>
        <v>#REF!</v>
      </c>
      <c r="AX10" t="e">
        <f>AND(Proyecto!#REF!,"AAAAAD/vvTE=")</f>
        <v>#REF!</v>
      </c>
      <c r="AY10" t="e">
        <f>AND(Proyecto!#REF!,"AAAAAD/vvTI=")</f>
        <v>#REF!</v>
      </c>
      <c r="AZ10" t="e">
        <f>AND(Proyecto!#REF!,"AAAAAD/vvTM=")</f>
        <v>#REF!</v>
      </c>
      <c r="BA10">
        <f>IF(Proyecto!8:8,"AAAAAD/vvTQ=",0)</f>
        <v>0</v>
      </c>
      <c r="BB10" t="e">
        <f>AND(Proyecto!A8,"AAAAAD/vvTU=")</f>
        <v>#VALUE!</v>
      </c>
      <c r="BC10" t="e">
        <f>AND(Proyecto!#REF!,"AAAAAD/vvTY=")</f>
        <v>#REF!</v>
      </c>
      <c r="BD10" t="e">
        <f>AND(Proyecto!B8,"AAAAAD/vvTc=")</f>
        <v>#VALUE!</v>
      </c>
      <c r="BE10" t="e">
        <f>AND(Proyecto!C8,"AAAAAD/vvTg=")</f>
        <v>#VALUE!</v>
      </c>
      <c r="BF10" t="e">
        <f>AND(Proyecto!D8,"AAAAAD/vvTk=")</f>
        <v>#VALUE!</v>
      </c>
      <c r="BG10" t="e">
        <f>AND(Proyecto!E8,"AAAAAD/vvTo=")</f>
        <v>#VALUE!</v>
      </c>
      <c r="BH10" t="e">
        <f>AND(Proyecto!F8,"AAAAAD/vvTs=")</f>
        <v>#VALUE!</v>
      </c>
      <c r="BI10" t="e">
        <f>AND(Proyecto!G8,"AAAAAD/vvTw=")</f>
        <v>#VALUE!</v>
      </c>
      <c r="BJ10" t="e">
        <f>AND(Proyecto!H8,"AAAAAD/vvT0=")</f>
        <v>#VALUE!</v>
      </c>
      <c r="BK10" t="e">
        <f>AND(Proyecto!I8,"AAAAAD/vvT4=")</f>
        <v>#VALUE!</v>
      </c>
      <c r="BL10" t="e">
        <f>AND(Proyecto!J8,"AAAAAD/vvT8=")</f>
        <v>#VALUE!</v>
      </c>
      <c r="BM10" t="e">
        <f>AND(Proyecto!K8,"AAAAAD/vvUA=")</f>
        <v>#VALUE!</v>
      </c>
      <c r="BN10" t="e">
        <f>AND(Proyecto!L8,"AAAAAD/vvUE=")</f>
        <v>#VALUE!</v>
      </c>
      <c r="BO10" t="e">
        <f>AND(Proyecto!M8,"AAAAAD/vvUI=")</f>
        <v>#VALUE!</v>
      </c>
      <c r="BP10" t="e">
        <f>AND(Proyecto!N8,"AAAAAD/vvUM=")</f>
        <v>#VALUE!</v>
      </c>
      <c r="BQ10" t="e">
        <f>AND(Proyecto!O8,"AAAAAD/vvUQ=")</f>
        <v>#VALUE!</v>
      </c>
      <c r="BR10">
        <f>IF(Proyecto!9:9,"AAAAAD/vvUU=",0)</f>
        <v>0</v>
      </c>
      <c r="BS10" t="e">
        <f>AND(Proyecto!A9,"AAAAAD/vvUY=")</f>
        <v>#VALUE!</v>
      </c>
      <c r="BT10" t="e">
        <f>AND(Proyecto!#REF!,"AAAAAD/vvUc=")</f>
        <v>#REF!</v>
      </c>
      <c r="BU10" t="e">
        <f>AND(Proyecto!B9,"AAAAAD/vvUg=")</f>
        <v>#VALUE!</v>
      </c>
      <c r="BV10" t="e">
        <f>AND(Proyecto!C9,"AAAAAD/vvUk=")</f>
        <v>#VALUE!</v>
      </c>
      <c r="BW10" t="e">
        <f>AND(Proyecto!D9,"AAAAAD/vvUo=")</f>
        <v>#VALUE!</v>
      </c>
      <c r="BX10" t="e">
        <f>AND(Proyecto!E9,"AAAAAD/vvUs=")</f>
        <v>#VALUE!</v>
      </c>
      <c r="BY10" t="e">
        <f>AND(Proyecto!F9,"AAAAAD/vvUw=")</f>
        <v>#VALUE!</v>
      </c>
      <c r="BZ10" t="e">
        <f>AND(Proyecto!G9,"AAAAAD/vvU0=")</f>
        <v>#VALUE!</v>
      </c>
      <c r="CA10" t="e">
        <f>AND(Proyecto!H9,"AAAAAD/vvU4=")</f>
        <v>#VALUE!</v>
      </c>
      <c r="CB10" t="e">
        <f>AND(Proyecto!I9,"AAAAAD/vvU8=")</f>
        <v>#VALUE!</v>
      </c>
      <c r="CC10" t="e">
        <f>AND(Proyecto!J9,"AAAAAD/vvVA=")</f>
        <v>#VALUE!</v>
      </c>
      <c r="CD10" t="e">
        <f>AND(Proyecto!K9,"AAAAAD/vvVE=")</f>
        <v>#VALUE!</v>
      </c>
      <c r="CE10" t="e">
        <f>AND(Proyecto!L9,"AAAAAD/vvVI=")</f>
        <v>#VALUE!</v>
      </c>
      <c r="CF10" t="e">
        <f>AND(Proyecto!M9,"AAAAAD/vvVM=")</f>
        <v>#VALUE!</v>
      </c>
      <c r="CG10" t="e">
        <f>AND(Proyecto!N9,"AAAAAD/vvVQ=")</f>
        <v>#VALUE!</v>
      </c>
      <c r="CH10" t="e">
        <f>AND(Proyecto!O9,"AAAAAD/vvVU=")</f>
        <v>#VALUE!</v>
      </c>
      <c r="CI10">
        <f>IF(Proyecto!10:10,"AAAAAD/vvVY=",0)</f>
        <v>0</v>
      </c>
      <c r="CJ10" t="e">
        <f>AND(Proyecto!A10,"AAAAAD/vvVc=")</f>
        <v>#VALUE!</v>
      </c>
      <c r="CK10" t="e">
        <f>AND(Proyecto!#REF!,"AAAAAD/vvVg=")</f>
        <v>#REF!</v>
      </c>
      <c r="CL10" t="e">
        <f>AND(Proyecto!B10,"AAAAAD/vvVk=")</f>
        <v>#VALUE!</v>
      </c>
      <c r="CM10" t="e">
        <f>AND(Proyecto!C10,"AAAAAD/vvVo=")</f>
        <v>#VALUE!</v>
      </c>
      <c r="CN10" t="e">
        <f>AND(Proyecto!D10,"AAAAAD/vvVs=")</f>
        <v>#VALUE!</v>
      </c>
      <c r="CO10" t="e">
        <f>AND(Proyecto!E10,"AAAAAD/vvVw=")</f>
        <v>#VALUE!</v>
      </c>
      <c r="CP10" t="e">
        <f>AND(Proyecto!F10,"AAAAAD/vvV0=")</f>
        <v>#VALUE!</v>
      </c>
      <c r="CQ10" t="e">
        <f>AND(Proyecto!G10,"AAAAAD/vvV4=")</f>
        <v>#VALUE!</v>
      </c>
      <c r="CR10" t="e">
        <f>AND(Proyecto!H10,"AAAAAD/vvV8=")</f>
        <v>#VALUE!</v>
      </c>
      <c r="CS10" t="e">
        <f>AND(Proyecto!I10,"AAAAAD/vvWA=")</f>
        <v>#VALUE!</v>
      </c>
      <c r="CT10" t="e">
        <f>AND(Proyecto!J10,"AAAAAD/vvWE=")</f>
        <v>#VALUE!</v>
      </c>
      <c r="CU10" t="e">
        <f>AND(Proyecto!K10,"AAAAAD/vvWI=")</f>
        <v>#VALUE!</v>
      </c>
      <c r="CV10" t="e">
        <f>AND(Proyecto!L10,"AAAAAD/vvWM=")</f>
        <v>#VALUE!</v>
      </c>
      <c r="CW10" t="e">
        <f>AND(Proyecto!M10,"AAAAAD/vvWQ=")</f>
        <v>#VALUE!</v>
      </c>
      <c r="CX10" t="e">
        <f>AND(Proyecto!N10,"AAAAAD/vvWU=")</f>
        <v>#VALUE!</v>
      </c>
      <c r="CY10" t="e">
        <f>AND(Proyecto!O10,"AAAAAD/vvWY=")</f>
        <v>#VALUE!</v>
      </c>
      <c r="CZ10">
        <f>IF(Proyecto!11:11,"AAAAAD/vvWc=",0)</f>
        <v>0</v>
      </c>
      <c r="DA10" t="e">
        <f>AND(Proyecto!A11,"AAAAAD/vvWg=")</f>
        <v>#VALUE!</v>
      </c>
      <c r="DB10" t="e">
        <f>AND(Proyecto!#REF!,"AAAAAD/vvWk=")</f>
        <v>#REF!</v>
      </c>
      <c r="DC10" t="e">
        <f>AND(Proyecto!B11,"AAAAAD/vvWo=")</f>
        <v>#VALUE!</v>
      </c>
      <c r="DD10" t="e">
        <f>AND(Proyecto!C11,"AAAAAD/vvWs=")</f>
        <v>#VALUE!</v>
      </c>
      <c r="DE10" t="e">
        <f>AND(Proyecto!D11,"AAAAAD/vvWw=")</f>
        <v>#VALUE!</v>
      </c>
      <c r="DF10" t="e">
        <f>AND(Proyecto!E11,"AAAAAD/vvW0=")</f>
        <v>#VALUE!</v>
      </c>
      <c r="DG10" t="e">
        <f>AND(Proyecto!F11,"AAAAAD/vvW4=")</f>
        <v>#VALUE!</v>
      </c>
      <c r="DH10" t="e">
        <f>AND(Proyecto!G11,"AAAAAD/vvW8=")</f>
        <v>#VALUE!</v>
      </c>
      <c r="DI10" t="e">
        <f>AND(Proyecto!H11,"AAAAAD/vvXA=")</f>
        <v>#VALUE!</v>
      </c>
      <c r="DJ10" t="e">
        <f>AND(Proyecto!I11,"AAAAAD/vvXE=")</f>
        <v>#VALUE!</v>
      </c>
      <c r="DK10" t="e">
        <f>AND(Proyecto!J11,"AAAAAD/vvXI=")</f>
        <v>#VALUE!</v>
      </c>
      <c r="DL10" t="e">
        <f>AND(Proyecto!K11,"AAAAAD/vvXM=")</f>
        <v>#VALUE!</v>
      </c>
      <c r="DM10" t="e">
        <f>AND(Proyecto!L11,"AAAAAD/vvXQ=")</f>
        <v>#VALUE!</v>
      </c>
      <c r="DN10" t="e">
        <f>AND(Proyecto!M11,"AAAAAD/vvXU=")</f>
        <v>#VALUE!</v>
      </c>
      <c r="DO10" t="e">
        <f>AND(Proyecto!N11,"AAAAAD/vvXY=")</f>
        <v>#VALUE!</v>
      </c>
      <c r="DP10" t="e">
        <f>AND(Proyecto!O11,"AAAAAD/vvXc=")</f>
        <v>#VALUE!</v>
      </c>
      <c r="DQ10">
        <f>IF(Proyecto!12:12,"AAAAAD/vvXg=",0)</f>
        <v>0</v>
      </c>
      <c r="DR10" t="e">
        <f>AND(Proyecto!A12,"AAAAAD/vvXk=")</f>
        <v>#VALUE!</v>
      </c>
      <c r="DS10" t="e">
        <f>AND(Proyecto!#REF!,"AAAAAD/vvXo=")</f>
        <v>#REF!</v>
      </c>
      <c r="DT10" t="e">
        <f>AND(Proyecto!B12,"AAAAAD/vvXs=")</f>
        <v>#VALUE!</v>
      </c>
      <c r="DU10" t="e">
        <f>AND(Proyecto!C12,"AAAAAD/vvXw=")</f>
        <v>#VALUE!</v>
      </c>
      <c r="DV10" t="e">
        <f>AND(Proyecto!D12,"AAAAAD/vvX0=")</f>
        <v>#VALUE!</v>
      </c>
      <c r="DW10" t="e">
        <f>AND(Proyecto!E12,"AAAAAD/vvX4=")</f>
        <v>#VALUE!</v>
      </c>
      <c r="DX10" t="e">
        <f>AND(Proyecto!F12,"AAAAAD/vvX8=")</f>
        <v>#VALUE!</v>
      </c>
      <c r="DY10" t="e">
        <f>AND(Proyecto!G12,"AAAAAD/vvYA=")</f>
        <v>#VALUE!</v>
      </c>
      <c r="DZ10" t="e">
        <f>AND(Proyecto!H12,"AAAAAD/vvYE=")</f>
        <v>#VALUE!</v>
      </c>
      <c r="EA10" t="e">
        <f>AND(Proyecto!I12,"AAAAAD/vvYI=")</f>
        <v>#VALUE!</v>
      </c>
      <c r="EB10" t="e">
        <f>AND(Proyecto!J12,"AAAAAD/vvYM=")</f>
        <v>#VALUE!</v>
      </c>
      <c r="EC10" t="e">
        <f>AND(Proyecto!K12,"AAAAAD/vvYQ=")</f>
        <v>#VALUE!</v>
      </c>
      <c r="ED10" t="e">
        <f>AND(Proyecto!L12,"AAAAAD/vvYU=")</f>
        <v>#VALUE!</v>
      </c>
      <c r="EE10" t="e">
        <f>AND(Proyecto!M12,"AAAAAD/vvYY=")</f>
        <v>#VALUE!</v>
      </c>
      <c r="EF10" t="e">
        <f>AND(Proyecto!N12,"AAAAAD/vvYc=")</f>
        <v>#VALUE!</v>
      </c>
      <c r="EG10" t="e">
        <f>AND(Proyecto!O12,"AAAAAD/vvYg=")</f>
        <v>#VALUE!</v>
      </c>
      <c r="EH10">
        <f>IF(Proyecto!13:13,"AAAAAD/vvYk=",0)</f>
        <v>0</v>
      </c>
      <c r="EI10" t="e">
        <f>AND(Proyecto!A13,"AAAAAD/vvYo=")</f>
        <v>#VALUE!</v>
      </c>
      <c r="EJ10" t="e">
        <f>AND(Proyecto!#REF!,"AAAAAD/vvYs=")</f>
        <v>#REF!</v>
      </c>
      <c r="EK10" t="e">
        <f>AND(Proyecto!B13,"AAAAAD/vvYw=")</f>
        <v>#VALUE!</v>
      </c>
      <c r="EL10" t="e">
        <f>AND(Proyecto!C13,"AAAAAD/vvY0=")</f>
        <v>#VALUE!</v>
      </c>
      <c r="EM10" t="e">
        <f>AND(Proyecto!D13,"AAAAAD/vvY4=")</f>
        <v>#VALUE!</v>
      </c>
      <c r="EN10" t="e">
        <f>AND(Proyecto!E13,"AAAAAD/vvY8=")</f>
        <v>#VALUE!</v>
      </c>
      <c r="EO10" t="e">
        <f>AND(Proyecto!F13,"AAAAAD/vvZA=")</f>
        <v>#VALUE!</v>
      </c>
      <c r="EP10" t="e">
        <f>AND(Proyecto!G13,"AAAAAD/vvZE=")</f>
        <v>#VALUE!</v>
      </c>
      <c r="EQ10" t="e">
        <f>AND(Proyecto!H13,"AAAAAD/vvZI=")</f>
        <v>#VALUE!</v>
      </c>
      <c r="ER10" t="e">
        <f>AND(Proyecto!I13,"AAAAAD/vvZM=")</f>
        <v>#VALUE!</v>
      </c>
      <c r="ES10" t="e">
        <f>AND(Proyecto!J13,"AAAAAD/vvZQ=")</f>
        <v>#VALUE!</v>
      </c>
      <c r="ET10" t="e">
        <f>AND(Proyecto!K13,"AAAAAD/vvZU=")</f>
        <v>#VALUE!</v>
      </c>
      <c r="EU10" t="e">
        <f>AND(Proyecto!L13,"AAAAAD/vvZY=")</f>
        <v>#VALUE!</v>
      </c>
      <c r="EV10" t="e">
        <f>AND(Proyecto!M13,"AAAAAD/vvZc=")</f>
        <v>#VALUE!</v>
      </c>
      <c r="EW10" t="e">
        <f>AND(Proyecto!N13,"AAAAAD/vvZg=")</f>
        <v>#VALUE!</v>
      </c>
      <c r="EX10" t="e">
        <f>AND(Proyecto!O13,"AAAAAD/vvZk=")</f>
        <v>#VALUE!</v>
      </c>
      <c r="EY10" t="e">
        <f>IF(Proyecto!#REF!,"AAAAAD/vvZo=",0)</f>
        <v>#REF!</v>
      </c>
      <c r="EZ10" t="e">
        <f>AND(Proyecto!#REF!,"AAAAAD/vvZs=")</f>
        <v>#REF!</v>
      </c>
      <c r="FA10" t="e">
        <f>AND(Proyecto!#REF!,"AAAAAD/vvZw=")</f>
        <v>#REF!</v>
      </c>
      <c r="FB10" t="e">
        <f>AND(Proyecto!#REF!,"AAAAAD/vvZ0=")</f>
        <v>#REF!</v>
      </c>
      <c r="FC10" t="e">
        <f>AND(Proyecto!#REF!,"AAAAAD/vvZ4=")</f>
        <v>#REF!</v>
      </c>
      <c r="FD10" t="e">
        <f>AND(Proyecto!#REF!,"AAAAAD/vvZ8=")</f>
        <v>#REF!</v>
      </c>
      <c r="FE10" t="e">
        <f>AND(Proyecto!#REF!,"AAAAAD/vvaA=")</f>
        <v>#REF!</v>
      </c>
      <c r="FF10" t="e">
        <f>AND(Proyecto!#REF!,"AAAAAD/vvaE=")</f>
        <v>#REF!</v>
      </c>
      <c r="FG10" t="e">
        <f>AND(Proyecto!#REF!,"AAAAAD/vvaI=")</f>
        <v>#REF!</v>
      </c>
      <c r="FH10" t="e">
        <f>AND(Proyecto!#REF!,"AAAAAD/vvaM=")</f>
        <v>#REF!</v>
      </c>
      <c r="FI10" t="e">
        <f>AND(Proyecto!#REF!,"AAAAAD/vvaQ=")</f>
        <v>#REF!</v>
      </c>
      <c r="FJ10" t="e">
        <f>AND(Proyecto!#REF!,"AAAAAD/vvaU=")</f>
        <v>#REF!</v>
      </c>
      <c r="FK10" t="e">
        <f>AND(Proyecto!#REF!,"AAAAAD/vvaY=")</f>
        <v>#REF!</v>
      </c>
      <c r="FL10" t="e">
        <f>AND(Proyecto!#REF!,"AAAAAD/vvac=")</f>
        <v>#REF!</v>
      </c>
      <c r="FM10" t="e">
        <f>AND(Proyecto!#REF!,"AAAAAD/vvag=")</f>
        <v>#REF!</v>
      </c>
      <c r="FN10" t="e">
        <f>AND(Proyecto!#REF!,"AAAAAD/vvak=")</f>
        <v>#REF!</v>
      </c>
      <c r="FO10" t="e">
        <f>AND(Proyecto!#REF!,"AAAAAD/vvao=")</f>
        <v>#REF!</v>
      </c>
      <c r="FP10" t="e">
        <f>IF(Proyecto!#REF!,"AAAAAD/vvas=",0)</f>
        <v>#REF!</v>
      </c>
      <c r="FQ10" t="e">
        <f>AND(Proyecto!#REF!,"AAAAAD/vvaw=")</f>
        <v>#REF!</v>
      </c>
      <c r="FR10" t="e">
        <f>AND(Proyecto!#REF!,"AAAAAD/vva0=")</f>
        <v>#REF!</v>
      </c>
      <c r="FS10" t="e">
        <f>AND(Proyecto!#REF!,"AAAAAD/vva4=")</f>
        <v>#REF!</v>
      </c>
      <c r="FT10" t="e">
        <f>AND(Proyecto!#REF!,"AAAAAD/vva8=")</f>
        <v>#REF!</v>
      </c>
      <c r="FU10" t="e">
        <f>AND(Proyecto!#REF!,"AAAAAD/vvbA=")</f>
        <v>#REF!</v>
      </c>
      <c r="FV10" t="e">
        <f>AND(Proyecto!#REF!,"AAAAAD/vvbE=")</f>
        <v>#REF!</v>
      </c>
      <c r="FW10" t="e">
        <f>AND(Proyecto!#REF!,"AAAAAD/vvbI=")</f>
        <v>#REF!</v>
      </c>
      <c r="FX10" t="e">
        <f>AND(Proyecto!#REF!,"AAAAAD/vvbM=")</f>
        <v>#REF!</v>
      </c>
      <c r="FY10" t="e">
        <f>AND(Proyecto!#REF!,"AAAAAD/vvbQ=")</f>
        <v>#REF!</v>
      </c>
      <c r="FZ10" t="e">
        <f>AND(Proyecto!#REF!,"AAAAAD/vvbU=")</f>
        <v>#REF!</v>
      </c>
      <c r="GA10" t="e">
        <f>AND(Proyecto!#REF!,"AAAAAD/vvbY=")</f>
        <v>#REF!</v>
      </c>
      <c r="GB10" t="e">
        <f>AND(Proyecto!#REF!,"AAAAAD/vvbc=")</f>
        <v>#REF!</v>
      </c>
      <c r="GC10" t="e">
        <f>AND(Proyecto!#REF!,"AAAAAD/vvbg=")</f>
        <v>#REF!</v>
      </c>
      <c r="GD10" t="e">
        <f>AND(Proyecto!#REF!,"AAAAAD/vvbk=")</f>
        <v>#REF!</v>
      </c>
      <c r="GE10" t="e">
        <f>AND(Proyecto!#REF!,"AAAAAD/vvbo=")</f>
        <v>#REF!</v>
      </c>
      <c r="GF10" t="e">
        <f>AND(Proyecto!#REF!,"AAAAAD/vvbs=")</f>
        <v>#REF!</v>
      </c>
      <c r="GG10" t="e">
        <f>IF(Proyecto!#REF!,"AAAAAD/vvbw=",0)</f>
        <v>#REF!</v>
      </c>
      <c r="GH10" t="e">
        <f>AND(Proyecto!#REF!,"AAAAAD/vvb0=")</f>
        <v>#REF!</v>
      </c>
      <c r="GI10" t="e">
        <f>AND(Proyecto!#REF!,"AAAAAD/vvb4=")</f>
        <v>#REF!</v>
      </c>
      <c r="GJ10" t="e">
        <f>AND(Proyecto!#REF!,"AAAAAD/vvb8=")</f>
        <v>#REF!</v>
      </c>
      <c r="GK10" t="e">
        <f>AND(Proyecto!#REF!,"AAAAAD/vvcA=")</f>
        <v>#REF!</v>
      </c>
      <c r="GL10" t="e">
        <f>AND(Proyecto!#REF!,"AAAAAD/vvcE=")</f>
        <v>#REF!</v>
      </c>
      <c r="GM10" t="e">
        <f>AND(Proyecto!#REF!,"AAAAAD/vvcI=")</f>
        <v>#REF!</v>
      </c>
      <c r="GN10" t="e">
        <f>AND(Proyecto!#REF!,"AAAAAD/vvcM=")</f>
        <v>#REF!</v>
      </c>
      <c r="GO10" t="e">
        <f>AND(Proyecto!#REF!,"AAAAAD/vvcQ=")</f>
        <v>#REF!</v>
      </c>
      <c r="GP10" t="e">
        <f>AND(Proyecto!#REF!,"AAAAAD/vvcU=")</f>
        <v>#REF!</v>
      </c>
      <c r="GQ10" t="e">
        <f>AND(Proyecto!#REF!,"AAAAAD/vvcY=")</f>
        <v>#REF!</v>
      </c>
      <c r="GR10" t="e">
        <f>AND(Proyecto!#REF!,"AAAAAD/vvcc=")</f>
        <v>#REF!</v>
      </c>
      <c r="GS10" t="e">
        <f>AND(Proyecto!#REF!,"AAAAAD/vvcg=")</f>
        <v>#REF!</v>
      </c>
      <c r="GT10" t="e">
        <f>AND(Proyecto!#REF!,"AAAAAD/vvck=")</f>
        <v>#REF!</v>
      </c>
      <c r="GU10" t="e">
        <f>AND(Proyecto!#REF!,"AAAAAD/vvco=")</f>
        <v>#REF!</v>
      </c>
      <c r="GV10" t="e">
        <f>AND(Proyecto!#REF!,"AAAAAD/vvcs=")</f>
        <v>#REF!</v>
      </c>
      <c r="GW10" t="e">
        <f>AND(Proyecto!#REF!,"AAAAAD/vvcw=")</f>
        <v>#REF!</v>
      </c>
      <c r="GX10" t="e">
        <f>IF(Proyecto!#REF!,"AAAAAD/vvc0=",0)</f>
        <v>#REF!</v>
      </c>
      <c r="GY10" t="e">
        <f>AND(Proyecto!#REF!,"AAAAAD/vvc4=")</f>
        <v>#REF!</v>
      </c>
      <c r="GZ10" t="e">
        <f>AND(Proyecto!#REF!,"AAAAAD/vvc8=")</f>
        <v>#REF!</v>
      </c>
      <c r="HA10" t="e">
        <f>AND(Proyecto!#REF!,"AAAAAD/vvdA=")</f>
        <v>#REF!</v>
      </c>
      <c r="HB10" t="e">
        <f>AND(Proyecto!#REF!,"AAAAAD/vvdE=")</f>
        <v>#REF!</v>
      </c>
      <c r="HC10" t="e">
        <f>AND(Proyecto!#REF!,"AAAAAD/vvdI=")</f>
        <v>#REF!</v>
      </c>
      <c r="HD10" t="e">
        <f>AND(Proyecto!#REF!,"AAAAAD/vvdM=")</f>
        <v>#REF!</v>
      </c>
      <c r="HE10" t="e">
        <f>AND(Proyecto!#REF!,"AAAAAD/vvdQ=")</f>
        <v>#REF!</v>
      </c>
      <c r="HF10" t="e">
        <f>AND(Proyecto!#REF!,"AAAAAD/vvdU=")</f>
        <v>#REF!</v>
      </c>
      <c r="HG10" t="e">
        <f>AND(Proyecto!#REF!,"AAAAAD/vvdY=")</f>
        <v>#REF!</v>
      </c>
      <c r="HH10" t="e">
        <f>AND(Proyecto!#REF!,"AAAAAD/vvdc=")</f>
        <v>#REF!</v>
      </c>
      <c r="HI10" t="e">
        <f>AND(Proyecto!#REF!,"AAAAAD/vvdg=")</f>
        <v>#REF!</v>
      </c>
      <c r="HJ10" t="e">
        <f>AND(Proyecto!#REF!,"AAAAAD/vvdk=")</f>
        <v>#REF!</v>
      </c>
      <c r="HK10" t="e">
        <f>AND(Proyecto!#REF!,"AAAAAD/vvdo=")</f>
        <v>#REF!</v>
      </c>
      <c r="HL10" t="e">
        <f>AND(Proyecto!#REF!,"AAAAAD/vvds=")</f>
        <v>#REF!</v>
      </c>
      <c r="HM10" t="e">
        <f>AND(Proyecto!#REF!,"AAAAAD/vvdw=")</f>
        <v>#REF!</v>
      </c>
      <c r="HN10" t="e">
        <f>AND(Proyecto!#REF!,"AAAAAD/vvd0=")</f>
        <v>#REF!</v>
      </c>
      <c r="HO10" t="e">
        <f>IF(Proyecto!#REF!,"AAAAAD/vvd4=",0)</f>
        <v>#REF!</v>
      </c>
      <c r="HP10" t="e">
        <f>AND(Proyecto!#REF!,"AAAAAD/vvd8=")</f>
        <v>#REF!</v>
      </c>
      <c r="HQ10" t="e">
        <f>AND(Proyecto!#REF!,"AAAAAD/vveA=")</f>
        <v>#REF!</v>
      </c>
      <c r="HR10" t="e">
        <f>AND(Proyecto!#REF!,"AAAAAD/vveE=")</f>
        <v>#REF!</v>
      </c>
      <c r="HS10" t="e">
        <f>AND(Proyecto!#REF!,"AAAAAD/vveI=")</f>
        <v>#REF!</v>
      </c>
      <c r="HT10" t="e">
        <f>AND(Proyecto!#REF!,"AAAAAD/vveM=")</f>
        <v>#REF!</v>
      </c>
      <c r="HU10" t="e">
        <f>AND(Proyecto!#REF!,"AAAAAD/vveQ=")</f>
        <v>#REF!</v>
      </c>
      <c r="HV10" t="e">
        <f>AND(Proyecto!#REF!,"AAAAAD/vveU=")</f>
        <v>#REF!</v>
      </c>
      <c r="HW10" t="e">
        <f>AND(Proyecto!#REF!,"AAAAAD/vveY=")</f>
        <v>#REF!</v>
      </c>
      <c r="HX10" t="e">
        <f>AND(Proyecto!#REF!,"AAAAAD/vvec=")</f>
        <v>#REF!</v>
      </c>
      <c r="HY10" t="e">
        <f>AND(Proyecto!#REF!,"AAAAAD/vveg=")</f>
        <v>#REF!</v>
      </c>
      <c r="HZ10" t="e">
        <f>AND(Proyecto!#REF!,"AAAAAD/vvek=")</f>
        <v>#REF!</v>
      </c>
      <c r="IA10" t="e">
        <f>AND(Proyecto!#REF!,"AAAAAD/vveo=")</f>
        <v>#REF!</v>
      </c>
      <c r="IB10" t="e">
        <f>AND(Proyecto!#REF!,"AAAAAD/vves=")</f>
        <v>#REF!</v>
      </c>
      <c r="IC10" t="e">
        <f>AND(Proyecto!#REF!,"AAAAAD/vvew=")</f>
        <v>#REF!</v>
      </c>
      <c r="ID10" t="e">
        <f>AND(Proyecto!#REF!,"AAAAAD/vve0=")</f>
        <v>#REF!</v>
      </c>
      <c r="IE10" t="e">
        <f>AND(Proyecto!#REF!,"AAAAAD/vve4=")</f>
        <v>#REF!</v>
      </c>
      <c r="IF10" t="e">
        <f>IF(Proyecto!#REF!,"AAAAAD/vve8=",0)</f>
        <v>#REF!</v>
      </c>
      <c r="IG10" t="e">
        <f>AND(Proyecto!#REF!,"AAAAAD/vvfA=")</f>
        <v>#REF!</v>
      </c>
      <c r="IH10" t="e">
        <f>AND(Proyecto!#REF!,"AAAAAD/vvfE=")</f>
        <v>#REF!</v>
      </c>
      <c r="II10" t="e">
        <f>AND(Proyecto!#REF!,"AAAAAD/vvfI=")</f>
        <v>#REF!</v>
      </c>
      <c r="IJ10" t="e">
        <f>AND(Proyecto!#REF!,"AAAAAD/vvfM=")</f>
        <v>#REF!</v>
      </c>
      <c r="IK10" t="e">
        <f>AND(Proyecto!#REF!,"AAAAAD/vvfQ=")</f>
        <v>#REF!</v>
      </c>
      <c r="IL10" t="e">
        <f>AND(Proyecto!#REF!,"AAAAAD/vvfU=")</f>
        <v>#REF!</v>
      </c>
      <c r="IM10" t="e">
        <f>AND(Proyecto!#REF!,"AAAAAD/vvfY=")</f>
        <v>#REF!</v>
      </c>
      <c r="IN10" t="e">
        <f>AND(Proyecto!#REF!,"AAAAAD/vvfc=")</f>
        <v>#REF!</v>
      </c>
      <c r="IO10" t="e">
        <f>AND(Proyecto!#REF!,"AAAAAD/vvfg=")</f>
        <v>#REF!</v>
      </c>
      <c r="IP10" t="e">
        <f>AND(Proyecto!#REF!,"AAAAAD/vvfk=")</f>
        <v>#REF!</v>
      </c>
      <c r="IQ10" t="e">
        <f>AND(Proyecto!#REF!,"AAAAAD/vvfo=")</f>
        <v>#REF!</v>
      </c>
      <c r="IR10" t="e">
        <f>AND(Proyecto!#REF!,"AAAAAD/vvfs=")</f>
        <v>#REF!</v>
      </c>
      <c r="IS10" t="e">
        <f>AND(Proyecto!#REF!,"AAAAAD/vvfw=")</f>
        <v>#REF!</v>
      </c>
      <c r="IT10" t="e">
        <f>AND(Proyecto!#REF!,"AAAAAD/vvf0=")</f>
        <v>#REF!</v>
      </c>
      <c r="IU10" t="e">
        <f>AND(Proyecto!#REF!,"AAAAAD/vvf4=")</f>
        <v>#REF!</v>
      </c>
      <c r="IV10" t="e">
        <f>AND(Proyecto!#REF!,"AAAAAD/vvf8=")</f>
        <v>#REF!</v>
      </c>
    </row>
    <row r="11" spans="1:256" x14ac:dyDescent="0.35">
      <c r="A11" t="e">
        <f>IF(Proyecto!#REF!,"AAAAAHO/7wA=",0)</f>
        <v>#REF!</v>
      </c>
      <c r="B11" t="e">
        <f>AND(Proyecto!#REF!,"AAAAAHO/7wE=")</f>
        <v>#REF!</v>
      </c>
      <c r="C11" t="e">
        <f>AND(Proyecto!#REF!,"AAAAAHO/7wI=")</f>
        <v>#REF!</v>
      </c>
      <c r="D11" t="e">
        <f>AND(Proyecto!#REF!,"AAAAAHO/7wM=")</f>
        <v>#REF!</v>
      </c>
      <c r="E11" t="e">
        <f>AND(Proyecto!#REF!,"AAAAAHO/7wQ=")</f>
        <v>#REF!</v>
      </c>
      <c r="F11" t="e">
        <f>AND(Proyecto!#REF!,"AAAAAHO/7wU=")</f>
        <v>#REF!</v>
      </c>
      <c r="G11" t="e">
        <f>AND(Proyecto!#REF!,"AAAAAHO/7wY=")</f>
        <v>#REF!</v>
      </c>
      <c r="H11" t="e">
        <f>AND(Proyecto!#REF!,"AAAAAHO/7wc=")</f>
        <v>#REF!</v>
      </c>
      <c r="I11" t="e">
        <f>AND(Proyecto!#REF!,"AAAAAHO/7wg=")</f>
        <v>#REF!</v>
      </c>
      <c r="J11" t="e">
        <f>AND(Proyecto!#REF!,"AAAAAHO/7wk=")</f>
        <v>#REF!</v>
      </c>
      <c r="K11" t="e">
        <f>AND(Proyecto!#REF!,"AAAAAHO/7wo=")</f>
        <v>#REF!</v>
      </c>
      <c r="L11" t="e">
        <f>AND(Proyecto!#REF!,"AAAAAHO/7ws=")</f>
        <v>#REF!</v>
      </c>
      <c r="M11" t="e">
        <f>AND(Proyecto!#REF!,"AAAAAHO/7ww=")</f>
        <v>#REF!</v>
      </c>
      <c r="N11" t="e">
        <f>AND(Proyecto!#REF!,"AAAAAHO/7w0=")</f>
        <v>#REF!</v>
      </c>
      <c r="O11" t="e">
        <f>AND(Proyecto!#REF!,"AAAAAHO/7w4=")</f>
        <v>#REF!</v>
      </c>
      <c r="P11" t="e">
        <f>AND(Proyecto!#REF!,"AAAAAHO/7w8=")</f>
        <v>#REF!</v>
      </c>
      <c r="Q11" t="e">
        <f>AND(Proyecto!#REF!,"AAAAAHO/7xA=")</f>
        <v>#REF!</v>
      </c>
      <c r="R11" t="e">
        <f>IF(Proyecto!#REF!,"AAAAAHO/7xE=",0)</f>
        <v>#REF!</v>
      </c>
      <c r="S11" t="e">
        <f>AND(Proyecto!#REF!,"AAAAAHO/7xI=")</f>
        <v>#REF!</v>
      </c>
      <c r="T11" t="e">
        <f>AND(Proyecto!#REF!,"AAAAAHO/7xM=")</f>
        <v>#REF!</v>
      </c>
      <c r="U11" t="e">
        <f>AND(Proyecto!#REF!,"AAAAAHO/7xQ=")</f>
        <v>#REF!</v>
      </c>
      <c r="V11" t="e">
        <f>AND(Proyecto!#REF!,"AAAAAHO/7xU=")</f>
        <v>#REF!</v>
      </c>
      <c r="W11" t="e">
        <f>AND(Proyecto!#REF!,"AAAAAHO/7xY=")</f>
        <v>#REF!</v>
      </c>
      <c r="X11" t="e">
        <f>AND(Proyecto!#REF!,"AAAAAHO/7xc=")</f>
        <v>#REF!</v>
      </c>
      <c r="Y11" t="e">
        <f>AND(Proyecto!#REF!,"AAAAAHO/7xg=")</f>
        <v>#REF!</v>
      </c>
      <c r="Z11" t="e">
        <f>AND(Proyecto!#REF!,"AAAAAHO/7xk=")</f>
        <v>#REF!</v>
      </c>
      <c r="AA11" t="e">
        <f>AND(Proyecto!#REF!,"AAAAAHO/7xo=")</f>
        <v>#REF!</v>
      </c>
      <c r="AB11" t="e">
        <f>AND(Proyecto!#REF!,"AAAAAHO/7xs=")</f>
        <v>#REF!</v>
      </c>
      <c r="AC11" t="e">
        <f>AND(Proyecto!#REF!,"AAAAAHO/7xw=")</f>
        <v>#REF!</v>
      </c>
      <c r="AD11" t="e">
        <f>AND(Proyecto!#REF!,"AAAAAHO/7x0=")</f>
        <v>#REF!</v>
      </c>
      <c r="AE11" t="e">
        <f>AND(Proyecto!#REF!,"AAAAAHO/7x4=")</f>
        <v>#REF!</v>
      </c>
      <c r="AF11" t="e">
        <f>AND(Proyecto!#REF!,"AAAAAHO/7x8=")</f>
        <v>#REF!</v>
      </c>
      <c r="AG11" t="e">
        <f>AND(Proyecto!#REF!,"AAAAAHO/7yA=")</f>
        <v>#REF!</v>
      </c>
      <c r="AH11" t="e">
        <f>AND(Proyecto!#REF!,"AAAAAHO/7yE=")</f>
        <v>#REF!</v>
      </c>
      <c r="AI11" t="e">
        <f>IF(Proyecto!#REF!,"AAAAAHO/7yI=",0)</f>
        <v>#REF!</v>
      </c>
      <c r="AJ11" t="e">
        <f>AND(Proyecto!#REF!,"AAAAAHO/7yM=")</f>
        <v>#REF!</v>
      </c>
      <c r="AK11" t="e">
        <f>AND(Proyecto!#REF!,"AAAAAHO/7yQ=")</f>
        <v>#REF!</v>
      </c>
      <c r="AL11" t="e">
        <f>AND(Proyecto!#REF!,"AAAAAHO/7yU=")</f>
        <v>#REF!</v>
      </c>
      <c r="AM11" t="e">
        <f>AND(Proyecto!#REF!,"AAAAAHO/7yY=")</f>
        <v>#REF!</v>
      </c>
      <c r="AN11" t="e">
        <f>AND(Proyecto!#REF!,"AAAAAHO/7yc=")</f>
        <v>#REF!</v>
      </c>
      <c r="AO11" t="e">
        <f>AND(Proyecto!#REF!,"AAAAAHO/7yg=")</f>
        <v>#REF!</v>
      </c>
      <c r="AP11" t="e">
        <f>AND(Proyecto!#REF!,"AAAAAHO/7yk=")</f>
        <v>#REF!</v>
      </c>
      <c r="AQ11" t="e">
        <f>AND(Proyecto!#REF!,"AAAAAHO/7yo=")</f>
        <v>#REF!</v>
      </c>
      <c r="AR11" t="e">
        <f>AND(Proyecto!#REF!,"AAAAAHO/7ys=")</f>
        <v>#REF!</v>
      </c>
      <c r="AS11" t="e">
        <f>AND(Proyecto!#REF!,"AAAAAHO/7yw=")</f>
        <v>#REF!</v>
      </c>
      <c r="AT11" t="e">
        <f>AND(Proyecto!#REF!,"AAAAAHO/7y0=")</f>
        <v>#REF!</v>
      </c>
      <c r="AU11" t="e">
        <f>AND(Proyecto!#REF!,"AAAAAHO/7y4=")</f>
        <v>#REF!</v>
      </c>
      <c r="AV11" t="e">
        <f>AND(Proyecto!#REF!,"AAAAAHO/7y8=")</f>
        <v>#REF!</v>
      </c>
      <c r="AW11" t="e">
        <f>AND(Proyecto!#REF!,"AAAAAHO/7zA=")</f>
        <v>#REF!</v>
      </c>
      <c r="AX11" t="e">
        <f>AND(Proyecto!#REF!,"AAAAAHO/7zE=")</f>
        <v>#REF!</v>
      </c>
      <c r="AY11" t="e">
        <f>AND(Proyecto!#REF!,"AAAAAHO/7zI=")</f>
        <v>#REF!</v>
      </c>
      <c r="AZ11" t="e">
        <f>IF(Proyecto!A:A,"AAAAAHO/7zM=",0)</f>
        <v>#VALUE!</v>
      </c>
      <c r="BA11" t="e">
        <f>IF(Proyecto!#REF!,"AAAAAHO/7zQ=",0)</f>
        <v>#REF!</v>
      </c>
      <c r="BB11" t="str">
        <f>IF(Proyecto!B:B,"AAAAAHO/7zU=",0)</f>
        <v>AAAAAHO/7zU=</v>
      </c>
      <c r="BC11" t="str">
        <f>IF(Proyecto!C:C,"AAAAAHO/7zY=",0)</f>
        <v>AAAAAHO/7zY=</v>
      </c>
      <c r="BD11" t="str">
        <f>IF(Proyecto!D:D,"AAAAAHO/7zc=",0)</f>
        <v>AAAAAHO/7zc=</v>
      </c>
      <c r="BE11" t="str">
        <f>IF(Proyecto!E:E,"AAAAAHO/7zg=",0)</f>
        <v>AAAAAHO/7zg=</v>
      </c>
      <c r="BF11" t="str">
        <f>IF(Proyecto!F:F,"AAAAAHO/7zk=",0)</f>
        <v>AAAAAHO/7zk=</v>
      </c>
      <c r="BG11" t="str">
        <f>IF(Proyecto!G:G,"AAAAAHO/7zo=",0)</f>
        <v>AAAAAHO/7zo=</v>
      </c>
      <c r="BH11" t="str">
        <f>IF(Proyecto!H:H,"AAAAAHO/7zs=",0)</f>
        <v>AAAAAHO/7zs=</v>
      </c>
      <c r="BI11" t="str">
        <f>IF(Proyecto!I:I,"AAAAAHO/7zw=",0)</f>
        <v>AAAAAHO/7zw=</v>
      </c>
      <c r="BJ11" t="str">
        <f>IF(Proyecto!J:J,"AAAAAHO/7z0=",0)</f>
        <v>AAAAAHO/7z0=</v>
      </c>
      <c r="BK11" t="str">
        <f>IF(Proyecto!K:K,"AAAAAHO/7z4=",0)</f>
        <v>AAAAAHO/7z4=</v>
      </c>
      <c r="BL11" t="str">
        <f>IF(Proyecto!L:L,"AAAAAHO/7z8=",0)</f>
        <v>AAAAAHO/7z8=</v>
      </c>
      <c r="BM11" t="str">
        <f>IF(Proyecto!M:M,"AAAAAHO/70A=",0)</f>
        <v>AAAAAHO/70A=</v>
      </c>
      <c r="BN11">
        <f>IF(Proyecto!N:N,"AAAAAHO/70E=",0)</f>
        <v>0</v>
      </c>
      <c r="BO11" t="str">
        <f>IF(Proyecto!O:O,"AAAAAHO/70I=",0)</f>
        <v>AAAAAHO/70I=</v>
      </c>
      <c r="BP11" t="e">
        <f>IF(#REF!,"AAAAAHO/70M=",0)</f>
        <v>#REF!</v>
      </c>
      <c r="BQ11" t="e">
        <f>AND(#REF!,"AAAAAHO/70Q=")</f>
        <v>#REF!</v>
      </c>
      <c r="BR11" t="e">
        <f>AND(#REF!,"AAAAAHO/70U=")</f>
        <v>#REF!</v>
      </c>
      <c r="BS11" t="e">
        <f>AND(#REF!,"AAAAAHO/70Y=")</f>
        <v>#REF!</v>
      </c>
      <c r="BT11" t="e">
        <f>AND(#REF!,"AAAAAHO/70c=")</f>
        <v>#REF!</v>
      </c>
      <c r="BU11" t="e">
        <f>AND(#REF!,"AAAAAHO/70g=")</f>
        <v>#REF!</v>
      </c>
      <c r="BV11" t="e">
        <f>AND(#REF!,"AAAAAHO/70k=")</f>
        <v>#REF!</v>
      </c>
      <c r="BW11" t="e">
        <f>IF(#REF!,"AAAAAHO/70o=",0)</f>
        <v>#REF!</v>
      </c>
      <c r="BX11" t="e">
        <f>AND(#REF!,"AAAAAHO/70s=")</f>
        <v>#REF!</v>
      </c>
      <c r="BY11" t="e">
        <f>AND(#REF!,"AAAAAHO/70w=")</f>
        <v>#REF!</v>
      </c>
      <c r="BZ11" t="e">
        <f>AND(#REF!,"AAAAAHO/700=")</f>
        <v>#REF!</v>
      </c>
      <c r="CA11" t="e">
        <f>AND(#REF!,"AAAAAHO/704=")</f>
        <v>#REF!</v>
      </c>
      <c r="CB11" t="e">
        <f>AND(#REF!,"AAAAAHO/708=")</f>
        <v>#REF!</v>
      </c>
      <c r="CC11" t="e">
        <f>AND(#REF!,"AAAAAHO/71A=")</f>
        <v>#REF!</v>
      </c>
      <c r="CD11" t="e">
        <f>IF(#REF!,"AAAAAHO/71E=",0)</f>
        <v>#REF!</v>
      </c>
      <c r="CE11" t="e">
        <f>AND(#REF!,"AAAAAHO/71I=")</f>
        <v>#REF!</v>
      </c>
      <c r="CF11" t="e">
        <f>AND(#REF!,"AAAAAHO/71M=")</f>
        <v>#REF!</v>
      </c>
      <c r="CG11" t="e">
        <f>AND(#REF!,"AAAAAHO/71Q=")</f>
        <v>#REF!</v>
      </c>
      <c r="CH11" t="e">
        <f>AND(#REF!,"AAAAAHO/71U=")</f>
        <v>#REF!</v>
      </c>
      <c r="CI11" t="e">
        <f>AND(#REF!,"AAAAAHO/71Y=")</f>
        <v>#REF!</v>
      </c>
      <c r="CJ11" t="e">
        <f>AND(#REF!,"AAAAAHO/71c=")</f>
        <v>#REF!</v>
      </c>
      <c r="CK11" t="e">
        <f>IF(#REF!,"AAAAAHO/71g=",0)</f>
        <v>#REF!</v>
      </c>
      <c r="CL11" t="e">
        <f>AND(#REF!,"AAAAAHO/71k=")</f>
        <v>#REF!</v>
      </c>
      <c r="CM11" t="e">
        <f>AND(#REF!,"AAAAAHO/71o=")</f>
        <v>#REF!</v>
      </c>
      <c r="CN11" t="e">
        <f>AND(#REF!,"AAAAAHO/71s=")</f>
        <v>#REF!</v>
      </c>
      <c r="CO11" t="e">
        <f>AND(#REF!,"AAAAAHO/71w=")</f>
        <v>#REF!</v>
      </c>
      <c r="CP11" t="e">
        <f>AND(#REF!,"AAAAAHO/710=")</f>
        <v>#REF!</v>
      </c>
      <c r="CQ11" t="e">
        <f>AND(#REF!,"AAAAAHO/714=")</f>
        <v>#REF!</v>
      </c>
      <c r="CR11" t="e">
        <f>IF(#REF!,"AAAAAHO/718=",0)</f>
        <v>#REF!</v>
      </c>
      <c r="CS11" t="e">
        <f>AND(#REF!,"AAAAAHO/72A=")</f>
        <v>#REF!</v>
      </c>
      <c r="CT11" t="e">
        <f>AND(#REF!,"AAAAAHO/72E=")</f>
        <v>#REF!</v>
      </c>
      <c r="CU11" t="e">
        <f>AND(#REF!,"AAAAAHO/72I=")</f>
        <v>#REF!</v>
      </c>
      <c r="CV11" t="e">
        <f>AND(#REF!,"AAAAAHO/72M=")</f>
        <v>#REF!</v>
      </c>
      <c r="CW11" t="e">
        <f>AND(#REF!,"AAAAAHO/72Q=")</f>
        <v>#REF!</v>
      </c>
      <c r="CX11" t="e">
        <f>AND(#REF!,"AAAAAHO/72U=")</f>
        <v>#REF!</v>
      </c>
      <c r="CY11" t="e">
        <f>IF(#REF!,"AAAAAHO/72Y=",0)</f>
        <v>#REF!</v>
      </c>
      <c r="CZ11" t="e">
        <f>AND(#REF!,"AAAAAHO/72c=")</f>
        <v>#REF!</v>
      </c>
      <c r="DA11" t="e">
        <f>AND(#REF!,"AAAAAHO/72g=")</f>
        <v>#REF!</v>
      </c>
      <c r="DB11" t="e">
        <f>AND(#REF!,"AAAAAHO/72k=")</f>
        <v>#REF!</v>
      </c>
      <c r="DC11" t="e">
        <f>AND(#REF!,"AAAAAHO/72o=")</f>
        <v>#REF!</v>
      </c>
      <c r="DD11" t="e">
        <f>AND(#REF!,"AAAAAHO/72s=")</f>
        <v>#REF!</v>
      </c>
      <c r="DE11" t="e">
        <f>AND(#REF!,"AAAAAHO/72w=")</f>
        <v>#REF!</v>
      </c>
      <c r="DF11" t="e">
        <f>IF(#REF!,"AAAAAHO/720=",0)</f>
        <v>#REF!</v>
      </c>
      <c r="DG11" t="e">
        <f>AND(#REF!,"AAAAAHO/724=")</f>
        <v>#REF!</v>
      </c>
      <c r="DH11" t="e">
        <f>AND(#REF!,"AAAAAHO/728=")</f>
        <v>#REF!</v>
      </c>
      <c r="DI11" t="e">
        <f>AND(#REF!,"AAAAAHO/73A=")</f>
        <v>#REF!</v>
      </c>
      <c r="DJ11" t="e">
        <f>AND(#REF!,"AAAAAHO/73E=")</f>
        <v>#REF!</v>
      </c>
      <c r="DK11" t="e">
        <f>AND(#REF!,"AAAAAHO/73I=")</f>
        <v>#REF!</v>
      </c>
      <c r="DL11" t="e">
        <f>AND(#REF!,"AAAAAHO/73M=")</f>
        <v>#REF!</v>
      </c>
      <c r="DM11" t="e">
        <f>IF(#REF!,"AAAAAHO/73Q=",0)</f>
        <v>#REF!</v>
      </c>
      <c r="DN11" t="e">
        <f>AND(#REF!,"AAAAAHO/73U=")</f>
        <v>#REF!</v>
      </c>
      <c r="DO11" t="e">
        <f>AND(#REF!,"AAAAAHO/73Y=")</f>
        <v>#REF!</v>
      </c>
      <c r="DP11" t="e">
        <f>AND(#REF!,"AAAAAHO/73c=")</f>
        <v>#REF!</v>
      </c>
      <c r="DQ11" t="e">
        <f>AND(#REF!,"AAAAAHO/73g=")</f>
        <v>#REF!</v>
      </c>
      <c r="DR11" t="e">
        <f>AND(#REF!,"AAAAAHO/73k=")</f>
        <v>#REF!</v>
      </c>
      <c r="DS11" t="e">
        <f>AND(#REF!,"AAAAAHO/73o=")</f>
        <v>#REF!</v>
      </c>
      <c r="DT11" t="e">
        <f>IF(#REF!,"AAAAAHO/73s=",0)</f>
        <v>#REF!</v>
      </c>
      <c r="DU11" t="e">
        <f>AND(#REF!,"AAAAAHO/73w=")</f>
        <v>#REF!</v>
      </c>
      <c r="DV11" t="e">
        <f>AND(#REF!,"AAAAAHO/730=")</f>
        <v>#REF!</v>
      </c>
      <c r="DW11" t="e">
        <f>AND(#REF!,"AAAAAHO/734=")</f>
        <v>#REF!</v>
      </c>
      <c r="DX11" t="e">
        <f>AND(#REF!,"AAAAAHO/738=")</f>
        <v>#REF!</v>
      </c>
      <c r="DY11" t="e">
        <f>AND(#REF!,"AAAAAHO/74A=")</f>
        <v>#REF!</v>
      </c>
      <c r="DZ11" t="e">
        <f>AND(#REF!,"AAAAAHO/74E=")</f>
        <v>#REF!</v>
      </c>
      <c r="EA11" t="e">
        <f>IF(#REF!,"AAAAAHO/74I=",0)</f>
        <v>#REF!</v>
      </c>
      <c r="EB11" t="e">
        <f>AND(#REF!,"AAAAAHO/74M=")</f>
        <v>#REF!</v>
      </c>
      <c r="EC11" t="e">
        <f>AND(#REF!,"AAAAAHO/74Q=")</f>
        <v>#REF!</v>
      </c>
      <c r="ED11" t="e">
        <f>AND(#REF!,"AAAAAHO/74U=")</f>
        <v>#REF!</v>
      </c>
      <c r="EE11" t="e">
        <f>AND(#REF!,"AAAAAHO/74Y=")</f>
        <v>#REF!</v>
      </c>
      <c r="EF11" t="e">
        <f>AND(#REF!,"AAAAAHO/74c=")</f>
        <v>#REF!</v>
      </c>
      <c r="EG11" t="e">
        <f>AND(#REF!,"AAAAAHO/74g=")</f>
        <v>#REF!</v>
      </c>
      <c r="EH11" t="e">
        <f>IF(#REF!,"AAAAAHO/74k=",0)</f>
        <v>#REF!</v>
      </c>
      <c r="EI11" t="e">
        <f>AND(#REF!,"AAAAAHO/74o=")</f>
        <v>#REF!</v>
      </c>
      <c r="EJ11" t="e">
        <f>AND(#REF!,"AAAAAHO/74s=")</f>
        <v>#REF!</v>
      </c>
      <c r="EK11" t="e">
        <f>AND(#REF!,"AAAAAHO/74w=")</f>
        <v>#REF!</v>
      </c>
      <c r="EL11" t="e">
        <f>AND(#REF!,"AAAAAHO/740=")</f>
        <v>#REF!</v>
      </c>
      <c r="EM11" t="e">
        <f>AND(#REF!,"AAAAAHO/744=")</f>
        <v>#REF!</v>
      </c>
      <c r="EN11" t="e">
        <f>AND(#REF!,"AAAAAHO/748=")</f>
        <v>#REF!</v>
      </c>
      <c r="EO11" t="e">
        <f>IF(#REF!,"AAAAAHO/75A=",0)</f>
        <v>#REF!</v>
      </c>
      <c r="EP11" t="e">
        <f>AND(#REF!,"AAAAAHO/75E=")</f>
        <v>#REF!</v>
      </c>
      <c r="EQ11" t="e">
        <f>AND(#REF!,"AAAAAHO/75I=")</f>
        <v>#REF!</v>
      </c>
      <c r="ER11" t="e">
        <f>AND(#REF!,"AAAAAHO/75M=")</f>
        <v>#REF!</v>
      </c>
      <c r="ES11" t="e">
        <f>AND(#REF!,"AAAAAHO/75Q=")</f>
        <v>#REF!</v>
      </c>
      <c r="ET11" t="e">
        <f>AND(#REF!,"AAAAAHO/75U=")</f>
        <v>#REF!</v>
      </c>
      <c r="EU11" t="e">
        <f>AND(#REF!,"AAAAAHO/75Y=")</f>
        <v>#REF!</v>
      </c>
      <c r="EV11" t="e">
        <f>IF(#REF!,"AAAAAHO/75c=",0)</f>
        <v>#REF!</v>
      </c>
      <c r="EW11" t="e">
        <f>AND(#REF!,"AAAAAHO/75g=")</f>
        <v>#REF!</v>
      </c>
      <c r="EX11" t="e">
        <f>AND(#REF!,"AAAAAHO/75k=")</f>
        <v>#REF!</v>
      </c>
      <c r="EY11" t="e">
        <f>AND(#REF!,"AAAAAHO/75o=")</f>
        <v>#REF!</v>
      </c>
      <c r="EZ11" t="e">
        <f>AND(#REF!,"AAAAAHO/75s=")</f>
        <v>#REF!</v>
      </c>
      <c r="FA11" t="e">
        <f>AND(#REF!,"AAAAAHO/75w=")</f>
        <v>#REF!</v>
      </c>
      <c r="FB11" t="e">
        <f>AND(#REF!,"AAAAAHO/750=")</f>
        <v>#REF!</v>
      </c>
      <c r="FC11" t="e">
        <f>IF(#REF!,"AAAAAHO/754=",0)</f>
        <v>#REF!</v>
      </c>
      <c r="FD11" t="e">
        <f>AND(#REF!,"AAAAAHO/758=")</f>
        <v>#REF!</v>
      </c>
      <c r="FE11" t="e">
        <f>AND(#REF!,"AAAAAHO/76A=")</f>
        <v>#REF!</v>
      </c>
      <c r="FF11" t="e">
        <f>AND(#REF!,"AAAAAHO/76E=")</f>
        <v>#REF!</v>
      </c>
      <c r="FG11" t="e">
        <f>AND(#REF!,"AAAAAHO/76I=")</f>
        <v>#REF!</v>
      </c>
      <c r="FH11" t="e">
        <f>AND(#REF!,"AAAAAHO/76M=")</f>
        <v>#REF!</v>
      </c>
      <c r="FI11" t="e">
        <f>AND(#REF!,"AAAAAHO/76Q=")</f>
        <v>#REF!</v>
      </c>
      <c r="FJ11" t="e">
        <f>IF(#REF!,"AAAAAHO/76U=",0)</f>
        <v>#REF!</v>
      </c>
      <c r="FK11" t="e">
        <f>AND(#REF!,"AAAAAHO/76Y=")</f>
        <v>#REF!</v>
      </c>
      <c r="FL11" t="e">
        <f>AND(#REF!,"AAAAAHO/76c=")</f>
        <v>#REF!</v>
      </c>
      <c r="FM11" t="e">
        <f>AND(#REF!,"AAAAAHO/76g=")</f>
        <v>#REF!</v>
      </c>
      <c r="FN11" t="e">
        <f>AND(#REF!,"AAAAAHO/76k=")</f>
        <v>#REF!</v>
      </c>
      <c r="FO11" t="e">
        <f>AND(#REF!,"AAAAAHO/76o=")</f>
        <v>#REF!</v>
      </c>
      <c r="FP11" t="e">
        <f>AND(#REF!,"AAAAAHO/76s=")</f>
        <v>#REF!</v>
      </c>
      <c r="FQ11" t="e">
        <f>IF(#REF!,"AAAAAHO/76w=",0)</f>
        <v>#REF!</v>
      </c>
      <c r="FR11" t="e">
        <f>AND(#REF!,"AAAAAHO/760=")</f>
        <v>#REF!</v>
      </c>
      <c r="FS11" t="e">
        <f>AND(#REF!,"AAAAAHO/764=")</f>
        <v>#REF!</v>
      </c>
      <c r="FT11" t="e">
        <f>AND(#REF!,"AAAAAHO/768=")</f>
        <v>#REF!</v>
      </c>
      <c r="FU11" t="e">
        <f>AND(#REF!,"AAAAAHO/77A=")</f>
        <v>#REF!</v>
      </c>
      <c r="FV11" t="e">
        <f>AND(#REF!,"AAAAAHO/77E=")</f>
        <v>#REF!</v>
      </c>
      <c r="FW11" t="e">
        <f>AND(#REF!,"AAAAAHO/77I=")</f>
        <v>#REF!</v>
      </c>
      <c r="FX11" t="e">
        <f>IF(#REF!,"AAAAAHO/77M=",0)</f>
        <v>#REF!</v>
      </c>
      <c r="FY11" t="e">
        <f>AND(#REF!,"AAAAAHO/77Q=")</f>
        <v>#REF!</v>
      </c>
      <c r="FZ11" t="e">
        <f>AND(#REF!,"AAAAAHO/77U=")</f>
        <v>#REF!</v>
      </c>
      <c r="GA11" t="e">
        <f>AND(#REF!,"AAAAAHO/77Y=")</f>
        <v>#REF!</v>
      </c>
      <c r="GB11" t="e">
        <f>AND(#REF!,"AAAAAHO/77c=")</f>
        <v>#REF!</v>
      </c>
      <c r="GC11" t="e">
        <f>AND(#REF!,"AAAAAHO/77g=")</f>
        <v>#REF!</v>
      </c>
      <c r="GD11" t="e">
        <f>AND(#REF!,"AAAAAHO/77k=")</f>
        <v>#REF!</v>
      </c>
      <c r="GE11" t="e">
        <f>IF(#REF!,"AAAAAHO/77o=",0)</f>
        <v>#REF!</v>
      </c>
      <c r="GF11" t="e">
        <f>AND(#REF!,"AAAAAHO/77s=")</f>
        <v>#REF!</v>
      </c>
      <c r="GG11" t="e">
        <f>AND(#REF!,"AAAAAHO/77w=")</f>
        <v>#REF!</v>
      </c>
      <c r="GH11" t="e">
        <f>AND(#REF!,"AAAAAHO/770=")</f>
        <v>#REF!</v>
      </c>
      <c r="GI11" t="e">
        <f>AND(#REF!,"AAAAAHO/774=")</f>
        <v>#REF!</v>
      </c>
      <c r="GJ11" t="e">
        <f>AND(#REF!,"AAAAAHO/778=")</f>
        <v>#REF!</v>
      </c>
      <c r="GK11" t="e">
        <f>AND(#REF!,"AAAAAHO/78A=")</f>
        <v>#REF!</v>
      </c>
      <c r="GL11" t="e">
        <f>IF(#REF!,"AAAAAHO/78E=",0)</f>
        <v>#REF!</v>
      </c>
      <c r="GM11" t="e">
        <f>AND(#REF!,"AAAAAHO/78I=")</f>
        <v>#REF!</v>
      </c>
      <c r="GN11" t="e">
        <f>AND(#REF!,"AAAAAHO/78M=")</f>
        <v>#REF!</v>
      </c>
      <c r="GO11" t="e">
        <f>AND(#REF!,"AAAAAHO/78Q=")</f>
        <v>#REF!</v>
      </c>
      <c r="GP11" t="e">
        <f>AND(#REF!,"AAAAAHO/78U=")</f>
        <v>#REF!</v>
      </c>
      <c r="GQ11" t="e">
        <f>AND(#REF!,"AAAAAHO/78Y=")</f>
        <v>#REF!</v>
      </c>
      <c r="GR11" t="e">
        <f>AND(#REF!,"AAAAAHO/78c=")</f>
        <v>#REF!</v>
      </c>
      <c r="GS11" t="e">
        <f>IF(#REF!,"AAAAAHO/78g=",0)</f>
        <v>#REF!</v>
      </c>
      <c r="GT11" t="e">
        <f>AND(#REF!,"AAAAAHO/78k=")</f>
        <v>#REF!</v>
      </c>
      <c r="GU11" t="e">
        <f>AND(#REF!,"AAAAAHO/78o=")</f>
        <v>#REF!</v>
      </c>
      <c r="GV11" t="e">
        <f>AND(#REF!,"AAAAAHO/78s=")</f>
        <v>#REF!</v>
      </c>
      <c r="GW11" t="e">
        <f>AND(#REF!,"AAAAAHO/78w=")</f>
        <v>#REF!</v>
      </c>
      <c r="GX11" t="e">
        <f>AND(#REF!,"AAAAAHO/780=")</f>
        <v>#REF!</v>
      </c>
      <c r="GY11" t="e">
        <f>AND(#REF!,"AAAAAHO/784=")</f>
        <v>#REF!</v>
      </c>
      <c r="GZ11" t="e">
        <f>IF(#REF!,"AAAAAHO/788=",0)</f>
        <v>#REF!</v>
      </c>
      <c r="HA11" t="e">
        <f>AND(#REF!,"AAAAAHO/79A=")</f>
        <v>#REF!</v>
      </c>
      <c r="HB11" t="e">
        <f>AND(#REF!,"AAAAAHO/79E=")</f>
        <v>#REF!</v>
      </c>
      <c r="HC11" t="e">
        <f>AND(#REF!,"AAAAAHO/79I=")</f>
        <v>#REF!</v>
      </c>
      <c r="HD11" t="e">
        <f>AND(#REF!,"AAAAAHO/79M=")</f>
        <v>#REF!</v>
      </c>
      <c r="HE11" t="e">
        <f>AND(#REF!,"AAAAAHO/79Q=")</f>
        <v>#REF!</v>
      </c>
      <c r="HF11" t="e">
        <f>AND(#REF!,"AAAAAHO/79U=")</f>
        <v>#REF!</v>
      </c>
      <c r="HG11" t="e">
        <f>IF(#REF!,"AAAAAHO/79Y=",0)</f>
        <v>#REF!</v>
      </c>
      <c r="HH11" t="e">
        <f>AND(#REF!,"AAAAAHO/79c=")</f>
        <v>#REF!</v>
      </c>
      <c r="HI11" t="e">
        <f>AND(#REF!,"AAAAAHO/79g=")</f>
        <v>#REF!</v>
      </c>
      <c r="HJ11" t="e">
        <f>AND(#REF!,"AAAAAHO/79k=")</f>
        <v>#REF!</v>
      </c>
      <c r="HK11" t="e">
        <f>AND(#REF!,"AAAAAHO/79o=")</f>
        <v>#REF!</v>
      </c>
      <c r="HL11" t="e">
        <f>AND(#REF!,"AAAAAHO/79s=")</f>
        <v>#REF!</v>
      </c>
      <c r="HM11" t="e">
        <f>AND(#REF!,"AAAAAHO/79w=")</f>
        <v>#REF!</v>
      </c>
      <c r="HN11" t="e">
        <f>IF(#REF!,"AAAAAHO/790=",0)</f>
        <v>#REF!</v>
      </c>
      <c r="HO11" t="e">
        <f>AND(#REF!,"AAAAAHO/794=")</f>
        <v>#REF!</v>
      </c>
      <c r="HP11" t="e">
        <f>AND(#REF!,"AAAAAHO/798=")</f>
        <v>#REF!</v>
      </c>
      <c r="HQ11" t="e">
        <f>AND(#REF!,"AAAAAHO/7+A=")</f>
        <v>#REF!</v>
      </c>
      <c r="HR11" t="e">
        <f>AND(#REF!,"AAAAAHO/7+E=")</f>
        <v>#REF!</v>
      </c>
      <c r="HS11" t="e">
        <f>AND(#REF!,"AAAAAHO/7+I=")</f>
        <v>#REF!</v>
      </c>
      <c r="HT11" t="e">
        <f>AND(#REF!,"AAAAAHO/7+M=")</f>
        <v>#REF!</v>
      </c>
      <c r="HU11" t="e">
        <f>IF(#REF!,"AAAAAHO/7+Q=",0)</f>
        <v>#REF!</v>
      </c>
      <c r="HV11" t="e">
        <f>AND(#REF!,"AAAAAHO/7+U=")</f>
        <v>#REF!</v>
      </c>
      <c r="HW11" t="e">
        <f>AND(#REF!,"AAAAAHO/7+Y=")</f>
        <v>#REF!</v>
      </c>
      <c r="HX11" t="e">
        <f>AND(#REF!,"AAAAAHO/7+c=")</f>
        <v>#REF!</v>
      </c>
      <c r="HY11" t="e">
        <f>AND(#REF!,"AAAAAHO/7+g=")</f>
        <v>#REF!</v>
      </c>
      <c r="HZ11" t="e">
        <f>AND(#REF!,"AAAAAHO/7+k=")</f>
        <v>#REF!</v>
      </c>
      <c r="IA11" t="e">
        <f>AND(#REF!,"AAAAAHO/7+o=")</f>
        <v>#REF!</v>
      </c>
      <c r="IB11" t="e">
        <f>IF(#REF!,"AAAAAHO/7+s=",0)</f>
        <v>#REF!</v>
      </c>
      <c r="IC11" t="e">
        <f>AND(#REF!,"AAAAAHO/7+w=")</f>
        <v>#REF!</v>
      </c>
      <c r="ID11" t="e">
        <f>AND(#REF!,"AAAAAHO/7+0=")</f>
        <v>#REF!</v>
      </c>
      <c r="IE11" t="e">
        <f>AND(#REF!,"AAAAAHO/7+4=")</f>
        <v>#REF!</v>
      </c>
      <c r="IF11" t="e">
        <f>AND(#REF!,"AAAAAHO/7+8=")</f>
        <v>#REF!</v>
      </c>
      <c r="IG11" t="e">
        <f>AND(#REF!,"AAAAAHO/7/A=")</f>
        <v>#REF!</v>
      </c>
      <c r="IH11" t="e">
        <f>AND(#REF!,"AAAAAHO/7/E=")</f>
        <v>#REF!</v>
      </c>
      <c r="II11" t="e">
        <f>IF(#REF!,"AAAAAHO/7/I=",0)</f>
        <v>#REF!</v>
      </c>
      <c r="IJ11" t="e">
        <f>AND(#REF!,"AAAAAHO/7/M=")</f>
        <v>#REF!</v>
      </c>
      <c r="IK11" t="e">
        <f>AND(#REF!,"AAAAAHO/7/Q=")</f>
        <v>#REF!</v>
      </c>
      <c r="IL11" t="e">
        <f>AND(#REF!,"AAAAAHO/7/U=")</f>
        <v>#REF!</v>
      </c>
      <c r="IM11" t="e">
        <f>AND(#REF!,"AAAAAHO/7/Y=")</f>
        <v>#REF!</v>
      </c>
      <c r="IN11" t="e">
        <f>AND(#REF!,"AAAAAHO/7/c=")</f>
        <v>#REF!</v>
      </c>
      <c r="IO11" t="e">
        <f>AND(#REF!,"AAAAAHO/7/g=")</f>
        <v>#REF!</v>
      </c>
      <c r="IP11" t="e">
        <f>IF(#REF!,"AAAAAHO/7/k=",0)</f>
        <v>#REF!</v>
      </c>
      <c r="IQ11" t="e">
        <f>AND(#REF!,"AAAAAHO/7/o=")</f>
        <v>#REF!</v>
      </c>
      <c r="IR11" t="e">
        <f>AND(#REF!,"AAAAAHO/7/s=")</f>
        <v>#REF!</v>
      </c>
      <c r="IS11" t="e">
        <f>AND(#REF!,"AAAAAHO/7/w=")</f>
        <v>#REF!</v>
      </c>
      <c r="IT11" t="e">
        <f>AND(#REF!,"AAAAAHO/7/0=")</f>
        <v>#REF!</v>
      </c>
      <c r="IU11" t="e">
        <f>AND(#REF!,"AAAAAHO/7/4=")</f>
        <v>#REF!</v>
      </c>
      <c r="IV11" t="e">
        <f>AND(#REF!,"AAAAAHO/7/8=")</f>
        <v>#REF!</v>
      </c>
    </row>
    <row r="12" spans="1:256" x14ac:dyDescent="0.35">
      <c r="A12" t="e">
        <f>IF(#REF!,"AAAAABXn/wA=",0)</f>
        <v>#REF!</v>
      </c>
      <c r="B12" t="e">
        <f>IF(#REF!,"AAAAABXn/wE=",0)</f>
        <v>#REF!</v>
      </c>
      <c r="C12" t="e">
        <f>IF(#REF!,"AAAAABXn/wI=",0)</f>
        <v>#REF!</v>
      </c>
      <c r="D12" t="e">
        <f>IF(#REF!,"AAAAABXn/wM=",0)</f>
        <v>#REF!</v>
      </c>
      <c r="E12" t="e">
        <f>IF(#REF!,"AAAAABXn/wQ=",0)</f>
        <v>#REF!</v>
      </c>
      <c r="F12" t="e">
        <f>IF(#REF!,"AAAAABXn/wU=",0)</f>
        <v>#REF!</v>
      </c>
      <c r="G12">
        <f>IF(GruposInv!1:1,"AAAAABXn/wY=",0)</f>
        <v>0</v>
      </c>
      <c r="H12" t="e">
        <f>AND(GruposInv!A1,"AAAAABXn/wc=")</f>
        <v>#VALUE!</v>
      </c>
      <c r="I12" t="e">
        <f>AND(GruposInv!B1,"AAAAABXn/wg=")</f>
        <v>#VALUE!</v>
      </c>
      <c r="J12" t="e">
        <f>AND(GruposInv!C1,"AAAAABXn/wk=")</f>
        <v>#VALUE!</v>
      </c>
      <c r="K12" t="e">
        <f>AND(GruposInv!D1,"AAAAABXn/wo=")</f>
        <v>#VALUE!</v>
      </c>
      <c r="L12">
        <f>IF(GruposInv!2:2,"AAAAABXn/ws=",0)</f>
        <v>0</v>
      </c>
      <c r="M12" t="e">
        <f>AND(GruposInv!A2,"AAAAABXn/ww=")</f>
        <v>#VALUE!</v>
      </c>
      <c r="N12" t="e">
        <f>AND(GruposInv!B2,"AAAAABXn/w0=")</f>
        <v>#VALUE!</v>
      </c>
      <c r="O12" t="e">
        <f>AND(GruposInv!C2,"AAAAABXn/w4=")</f>
        <v>#VALUE!</v>
      </c>
      <c r="P12" t="e">
        <f>AND(GruposInv!D2,"AAAAABXn/w8=")</f>
        <v>#VALUE!</v>
      </c>
      <c r="Q12" t="e">
        <f>IF(GruposInv!#REF!,"AAAAABXn/xA=",0)</f>
        <v>#REF!</v>
      </c>
      <c r="R12" t="e">
        <f>AND(GruposInv!#REF!,"AAAAABXn/xE=")</f>
        <v>#REF!</v>
      </c>
      <c r="S12" t="e">
        <f>AND(GruposInv!#REF!,"AAAAABXn/xI=")</f>
        <v>#REF!</v>
      </c>
      <c r="T12" t="e">
        <f>AND(GruposInv!#REF!,"AAAAABXn/xM=")</f>
        <v>#REF!</v>
      </c>
      <c r="U12" t="e">
        <f>AND(GruposInv!#REF!,"AAAAABXn/xQ=")</f>
        <v>#REF!</v>
      </c>
      <c r="V12" t="e">
        <f>IF(GruposInv!#REF!,"AAAAABXn/xU=",0)</f>
        <v>#REF!</v>
      </c>
      <c r="W12" t="e">
        <f>AND(GruposInv!#REF!,"AAAAABXn/xY=")</f>
        <v>#REF!</v>
      </c>
      <c r="X12" t="e">
        <f>AND(GruposInv!#REF!,"AAAAABXn/xc=")</f>
        <v>#REF!</v>
      </c>
      <c r="Y12" t="e">
        <f>AND(GruposInv!#REF!,"AAAAABXn/xg=")</f>
        <v>#REF!</v>
      </c>
      <c r="Z12" t="e">
        <f>AND(GruposInv!#REF!,"AAAAABXn/xk=")</f>
        <v>#REF!</v>
      </c>
      <c r="AA12" t="e">
        <f>IF(GruposInv!#REF!,"AAAAABXn/xo=",0)</f>
        <v>#REF!</v>
      </c>
      <c r="AB12" t="e">
        <f>AND(GruposInv!#REF!,"AAAAABXn/xs=")</f>
        <v>#REF!</v>
      </c>
      <c r="AC12" t="e">
        <f>AND(GruposInv!#REF!,"AAAAABXn/xw=")</f>
        <v>#REF!</v>
      </c>
      <c r="AD12" t="e">
        <f>AND(GruposInv!#REF!,"AAAAABXn/x0=")</f>
        <v>#REF!</v>
      </c>
      <c r="AE12" t="e">
        <f>AND(GruposInv!#REF!,"AAAAABXn/x4=")</f>
        <v>#REF!</v>
      </c>
      <c r="AF12">
        <f>IF(GruposInv!3:3,"AAAAABXn/x8=",0)</f>
        <v>0</v>
      </c>
      <c r="AG12" t="e">
        <f>AND(GruposInv!A3,"AAAAABXn/yA=")</f>
        <v>#VALUE!</v>
      </c>
      <c r="AH12" t="e">
        <f>AND(GruposInv!B3,"AAAAABXn/yE=")</f>
        <v>#VALUE!</v>
      </c>
      <c r="AI12" t="e">
        <f>AND(GruposInv!C3,"AAAAABXn/yI=")</f>
        <v>#VALUE!</v>
      </c>
      <c r="AJ12" t="e">
        <f>AND(GruposInv!D3,"AAAAABXn/yM=")</f>
        <v>#VALUE!</v>
      </c>
      <c r="AK12">
        <f>IF(GruposInv!4:4,"AAAAABXn/yQ=",0)</f>
        <v>0</v>
      </c>
      <c r="AL12" t="e">
        <f>AND(GruposInv!A4,"AAAAABXn/yU=")</f>
        <v>#VALUE!</v>
      </c>
      <c r="AM12" t="e">
        <f>AND(GruposInv!B4,"AAAAABXn/yY=")</f>
        <v>#VALUE!</v>
      </c>
      <c r="AN12" t="e">
        <f>AND(GruposInv!C4,"AAAAABXn/yc=")</f>
        <v>#VALUE!</v>
      </c>
      <c r="AO12" t="e">
        <f>AND(GruposInv!D4,"AAAAABXn/yg=")</f>
        <v>#VALUE!</v>
      </c>
      <c r="AP12">
        <f>IF(GruposInv!5:5,"AAAAABXn/yk=",0)</f>
        <v>0</v>
      </c>
      <c r="AQ12" t="e">
        <f>AND(GruposInv!A5,"AAAAABXn/yo=")</f>
        <v>#VALUE!</v>
      </c>
      <c r="AR12" t="e">
        <f>AND(GruposInv!B5,"AAAAABXn/ys=")</f>
        <v>#VALUE!</v>
      </c>
      <c r="AS12" t="e">
        <f>AND(GruposInv!C5,"AAAAABXn/yw=")</f>
        <v>#VALUE!</v>
      </c>
      <c r="AT12" t="e">
        <f>AND(GruposInv!D5,"AAAAABXn/y0=")</f>
        <v>#VALUE!</v>
      </c>
      <c r="AU12">
        <f>IF(GruposInv!6:6,"AAAAABXn/y4=",0)</f>
        <v>0</v>
      </c>
      <c r="AV12" t="e">
        <f>AND(GruposInv!A6,"AAAAABXn/y8=")</f>
        <v>#VALUE!</v>
      </c>
      <c r="AW12" t="e">
        <f>AND(GruposInv!B6,"AAAAABXn/zA=")</f>
        <v>#VALUE!</v>
      </c>
      <c r="AX12" t="e">
        <f>AND(GruposInv!C6,"AAAAABXn/zE=")</f>
        <v>#VALUE!</v>
      </c>
      <c r="AY12" t="e">
        <f>AND(GruposInv!D6,"AAAAABXn/zI=")</f>
        <v>#VALUE!</v>
      </c>
      <c r="AZ12">
        <f>IF(GruposInv!7:7,"AAAAABXn/zM=",0)</f>
        <v>0</v>
      </c>
      <c r="BA12" t="e">
        <f>AND(GruposInv!A7,"AAAAABXn/zQ=")</f>
        <v>#VALUE!</v>
      </c>
      <c r="BB12" t="e">
        <f>AND(GruposInv!B7,"AAAAABXn/zU=")</f>
        <v>#VALUE!</v>
      </c>
      <c r="BC12" t="e">
        <f>AND(GruposInv!C7,"AAAAABXn/zY=")</f>
        <v>#VALUE!</v>
      </c>
      <c r="BD12" t="e">
        <f>AND(GruposInv!D7,"AAAAABXn/zc=")</f>
        <v>#VALUE!</v>
      </c>
      <c r="BE12">
        <f>IF(GruposInv!8:8,"AAAAABXn/zg=",0)</f>
        <v>0</v>
      </c>
      <c r="BF12" t="e">
        <f>AND(GruposInv!A8,"AAAAABXn/zk=")</f>
        <v>#VALUE!</v>
      </c>
      <c r="BG12" t="e">
        <f>AND(GruposInv!B8,"AAAAABXn/zo=")</f>
        <v>#VALUE!</v>
      </c>
      <c r="BH12" t="e">
        <f>AND(GruposInv!C8,"AAAAABXn/zs=")</f>
        <v>#VALUE!</v>
      </c>
      <c r="BI12" t="e">
        <f>AND(GruposInv!D8,"AAAAABXn/zw=")</f>
        <v>#VALUE!</v>
      </c>
      <c r="BJ12">
        <f>IF(GruposInv!9:9,"AAAAABXn/z0=",0)</f>
        <v>0</v>
      </c>
      <c r="BK12" t="e">
        <f>AND(GruposInv!A9,"AAAAABXn/z4=")</f>
        <v>#VALUE!</v>
      </c>
      <c r="BL12" t="e">
        <f>AND(GruposInv!B9,"AAAAABXn/z8=")</f>
        <v>#VALUE!</v>
      </c>
      <c r="BM12" t="e">
        <f>AND(GruposInv!C9,"AAAAABXn/0A=")</f>
        <v>#VALUE!</v>
      </c>
      <c r="BN12" t="e">
        <f>AND(GruposInv!D9,"AAAAABXn/0E=")</f>
        <v>#VALUE!</v>
      </c>
      <c r="BO12">
        <f>IF(GruposInv!10:10,"AAAAABXn/0I=",0)</f>
        <v>0</v>
      </c>
      <c r="BP12" t="e">
        <f>AND(GruposInv!A10,"AAAAABXn/0M=")</f>
        <v>#VALUE!</v>
      </c>
      <c r="BQ12" t="e">
        <f>AND(GruposInv!B10,"AAAAABXn/0Q=")</f>
        <v>#VALUE!</v>
      </c>
      <c r="BR12" t="e">
        <f>AND(GruposInv!C10,"AAAAABXn/0U=")</f>
        <v>#VALUE!</v>
      </c>
      <c r="BS12" t="e">
        <f>AND(GruposInv!D10,"AAAAABXn/0Y=")</f>
        <v>#VALUE!</v>
      </c>
      <c r="BT12">
        <f>IF(GruposInv!11:11,"AAAAABXn/0c=",0)</f>
        <v>0</v>
      </c>
      <c r="BU12" t="e">
        <f>AND(GruposInv!A11,"AAAAABXn/0g=")</f>
        <v>#VALUE!</v>
      </c>
      <c r="BV12" t="e">
        <f>AND(GruposInv!B11,"AAAAABXn/0k=")</f>
        <v>#VALUE!</v>
      </c>
      <c r="BW12" t="e">
        <f>AND(GruposInv!C11,"AAAAABXn/0o=")</f>
        <v>#VALUE!</v>
      </c>
      <c r="BX12" t="e">
        <f>AND(GruposInv!D11,"AAAAABXn/0s=")</f>
        <v>#VALUE!</v>
      </c>
      <c r="BY12">
        <f>IF(GruposInv!12:12,"AAAAABXn/0w=",0)</f>
        <v>0</v>
      </c>
      <c r="BZ12" t="e">
        <f>AND(GruposInv!A12,"AAAAABXn/00=")</f>
        <v>#VALUE!</v>
      </c>
      <c r="CA12" t="e">
        <f>AND(GruposInv!B12,"AAAAABXn/04=")</f>
        <v>#VALUE!</v>
      </c>
      <c r="CB12" t="e">
        <f>AND(GruposInv!C12,"AAAAABXn/08=")</f>
        <v>#VALUE!</v>
      </c>
      <c r="CC12" t="e">
        <f>AND(GruposInv!D12,"AAAAABXn/1A=")</f>
        <v>#VALUE!</v>
      </c>
      <c r="CD12">
        <f>IF(GruposInv!13:13,"AAAAABXn/1E=",0)</f>
        <v>0</v>
      </c>
      <c r="CE12" t="e">
        <f>AND(GruposInv!A13,"AAAAABXn/1I=")</f>
        <v>#VALUE!</v>
      </c>
      <c r="CF12" t="e">
        <f>AND(GruposInv!B13,"AAAAABXn/1M=")</f>
        <v>#VALUE!</v>
      </c>
      <c r="CG12" t="e">
        <f>AND(GruposInv!C13,"AAAAABXn/1Q=")</f>
        <v>#VALUE!</v>
      </c>
      <c r="CH12" t="e">
        <f>AND(GruposInv!D13,"AAAAABXn/1U=")</f>
        <v>#VALUE!</v>
      </c>
      <c r="CI12">
        <f>IF(GruposInv!14:14,"AAAAABXn/1Y=",0)</f>
        <v>0</v>
      </c>
      <c r="CJ12" t="e">
        <f>AND(GruposInv!A14,"AAAAABXn/1c=")</f>
        <v>#VALUE!</v>
      </c>
      <c r="CK12" t="e">
        <f>AND(GruposInv!B14,"AAAAABXn/1g=")</f>
        <v>#VALUE!</v>
      </c>
      <c r="CL12" t="e">
        <f>AND(GruposInv!C14,"AAAAABXn/1k=")</f>
        <v>#VALUE!</v>
      </c>
      <c r="CM12" t="e">
        <f>AND(GruposInv!D14,"AAAAABXn/1o=")</f>
        <v>#VALUE!</v>
      </c>
      <c r="CN12">
        <f>IF(GruposInv!15:15,"AAAAABXn/1s=",0)</f>
        <v>0</v>
      </c>
      <c r="CO12" t="e">
        <f>AND(GruposInv!A15,"AAAAABXn/1w=")</f>
        <v>#VALUE!</v>
      </c>
      <c r="CP12" t="e">
        <f>AND(GruposInv!B15,"AAAAABXn/10=")</f>
        <v>#VALUE!</v>
      </c>
      <c r="CQ12" t="e">
        <f>AND(GruposInv!C15,"AAAAABXn/14=")</f>
        <v>#VALUE!</v>
      </c>
      <c r="CR12" t="e">
        <f>AND(GruposInv!D15,"AAAAABXn/18=")</f>
        <v>#VALUE!</v>
      </c>
      <c r="CS12">
        <f>IF(GruposInv!16:16,"AAAAABXn/2A=",0)</f>
        <v>0</v>
      </c>
      <c r="CT12" t="e">
        <f>AND(GruposInv!A16,"AAAAABXn/2E=")</f>
        <v>#VALUE!</v>
      </c>
      <c r="CU12" t="e">
        <f>AND(GruposInv!B16,"AAAAABXn/2I=")</f>
        <v>#VALUE!</v>
      </c>
      <c r="CV12" t="e">
        <f>AND(GruposInv!C16,"AAAAABXn/2M=")</f>
        <v>#VALUE!</v>
      </c>
      <c r="CW12" t="e">
        <f>AND(GruposInv!D16,"AAAAABXn/2Q=")</f>
        <v>#VALUE!</v>
      </c>
      <c r="CX12">
        <f>IF(GruposInv!17:17,"AAAAABXn/2U=",0)</f>
        <v>0</v>
      </c>
      <c r="CY12" t="e">
        <f>AND(GruposInv!A17,"AAAAABXn/2Y=")</f>
        <v>#VALUE!</v>
      </c>
      <c r="CZ12" t="e">
        <f>AND(GruposInv!B17,"AAAAABXn/2c=")</f>
        <v>#VALUE!</v>
      </c>
      <c r="DA12" t="e">
        <f>AND(GruposInv!C17,"AAAAABXn/2g=")</f>
        <v>#VALUE!</v>
      </c>
      <c r="DB12" t="e">
        <f>AND(GruposInv!D17,"AAAAABXn/2k=")</f>
        <v>#VALUE!</v>
      </c>
      <c r="DC12">
        <f>IF(GruposInv!18:18,"AAAAABXn/2o=",0)</f>
        <v>0</v>
      </c>
      <c r="DD12" t="e">
        <f>AND(GruposInv!A18,"AAAAABXn/2s=")</f>
        <v>#VALUE!</v>
      </c>
      <c r="DE12" t="e">
        <f>AND(GruposInv!B18,"AAAAABXn/2w=")</f>
        <v>#VALUE!</v>
      </c>
      <c r="DF12" t="e">
        <f>AND(GruposInv!C18,"AAAAABXn/20=")</f>
        <v>#VALUE!</v>
      </c>
      <c r="DG12" t="e">
        <f>AND(GruposInv!D18,"AAAAABXn/24=")</f>
        <v>#VALUE!</v>
      </c>
      <c r="DH12">
        <f>IF(GruposInv!19:19,"AAAAABXn/28=",0)</f>
        <v>0</v>
      </c>
      <c r="DI12" t="e">
        <f>AND(GruposInv!A19,"AAAAABXn/3A=")</f>
        <v>#VALUE!</v>
      </c>
      <c r="DJ12" t="e">
        <f>AND(GruposInv!B19,"AAAAABXn/3E=")</f>
        <v>#VALUE!</v>
      </c>
      <c r="DK12" t="e">
        <f>AND(GruposInv!C19,"AAAAABXn/3I=")</f>
        <v>#VALUE!</v>
      </c>
      <c r="DL12" t="e">
        <f>AND(GruposInv!D19,"AAAAABXn/3M=")</f>
        <v>#VALUE!</v>
      </c>
      <c r="DM12">
        <f>IF(GruposInv!20:20,"AAAAABXn/3Q=",0)</f>
        <v>0</v>
      </c>
      <c r="DN12" t="e">
        <f>AND(GruposInv!A20,"AAAAABXn/3U=")</f>
        <v>#VALUE!</v>
      </c>
      <c r="DO12" t="e">
        <f>AND(GruposInv!B20,"AAAAABXn/3Y=")</f>
        <v>#VALUE!</v>
      </c>
      <c r="DP12" t="e">
        <f>AND(GruposInv!C20,"AAAAABXn/3c=")</f>
        <v>#VALUE!</v>
      </c>
      <c r="DQ12" t="e">
        <f>AND(GruposInv!D20,"AAAAABXn/3g=")</f>
        <v>#VALUE!</v>
      </c>
      <c r="DR12">
        <f>IF(GruposInv!21:21,"AAAAABXn/3k=",0)</f>
        <v>0</v>
      </c>
      <c r="DS12" t="e">
        <f>AND(GruposInv!A21,"AAAAABXn/3o=")</f>
        <v>#VALUE!</v>
      </c>
      <c r="DT12" t="e">
        <f>AND(GruposInv!B21,"AAAAABXn/3s=")</f>
        <v>#VALUE!</v>
      </c>
      <c r="DU12" t="e">
        <f>AND(GruposInv!C21,"AAAAABXn/3w=")</f>
        <v>#VALUE!</v>
      </c>
      <c r="DV12" t="e">
        <f>AND(GruposInv!D21,"AAAAABXn/30=")</f>
        <v>#VALUE!</v>
      </c>
      <c r="DW12">
        <f>IF(GruposInv!22:22,"AAAAABXn/34=",0)</f>
        <v>0</v>
      </c>
      <c r="DX12" t="e">
        <f>AND(GruposInv!A22,"AAAAABXn/38=")</f>
        <v>#VALUE!</v>
      </c>
      <c r="DY12" t="e">
        <f>AND(GruposInv!B22,"AAAAABXn/4A=")</f>
        <v>#VALUE!</v>
      </c>
      <c r="DZ12" t="e">
        <f>AND(GruposInv!C22,"AAAAABXn/4E=")</f>
        <v>#VALUE!</v>
      </c>
      <c r="EA12" t="e">
        <f>AND(GruposInv!D22,"AAAAABXn/4I=")</f>
        <v>#VALUE!</v>
      </c>
      <c r="EB12">
        <f>IF(GruposInv!23:23,"AAAAABXn/4M=",0)</f>
        <v>0</v>
      </c>
      <c r="EC12" t="e">
        <f>AND(GruposInv!A23,"AAAAABXn/4Q=")</f>
        <v>#VALUE!</v>
      </c>
      <c r="ED12" t="e">
        <f>AND(GruposInv!B23,"AAAAABXn/4U=")</f>
        <v>#VALUE!</v>
      </c>
      <c r="EE12" t="e">
        <f>AND(GruposInv!C23,"AAAAABXn/4Y=")</f>
        <v>#VALUE!</v>
      </c>
      <c r="EF12" t="e">
        <f>AND(GruposInv!D23,"AAAAABXn/4c=")</f>
        <v>#VALUE!</v>
      </c>
      <c r="EG12">
        <f>IF(GruposInv!24:24,"AAAAABXn/4g=",0)</f>
        <v>0</v>
      </c>
      <c r="EH12" t="e">
        <f>AND(GruposInv!A24,"AAAAABXn/4k=")</f>
        <v>#VALUE!</v>
      </c>
      <c r="EI12" t="e">
        <f>AND(GruposInv!B24,"AAAAABXn/4o=")</f>
        <v>#VALUE!</v>
      </c>
      <c r="EJ12" t="e">
        <f>AND(GruposInv!C24,"AAAAABXn/4s=")</f>
        <v>#VALUE!</v>
      </c>
      <c r="EK12" t="e">
        <f>AND(GruposInv!D24,"AAAAABXn/4w=")</f>
        <v>#VALUE!</v>
      </c>
      <c r="EL12">
        <f>IF(GruposInv!25:25,"AAAAABXn/40=",0)</f>
        <v>0</v>
      </c>
      <c r="EM12" t="e">
        <f>AND(GruposInv!A25,"AAAAABXn/44=")</f>
        <v>#VALUE!</v>
      </c>
      <c r="EN12" t="e">
        <f>AND(GruposInv!B25,"AAAAABXn/48=")</f>
        <v>#VALUE!</v>
      </c>
      <c r="EO12" t="e">
        <f>AND(GruposInv!C25,"AAAAABXn/5A=")</f>
        <v>#VALUE!</v>
      </c>
      <c r="EP12" t="e">
        <f>AND(GruposInv!D25,"AAAAABXn/5E=")</f>
        <v>#VALUE!</v>
      </c>
      <c r="EQ12">
        <f>IF(GruposInv!26:26,"AAAAABXn/5I=",0)</f>
        <v>0</v>
      </c>
      <c r="ER12" t="e">
        <f>AND(GruposInv!A26,"AAAAABXn/5M=")</f>
        <v>#VALUE!</v>
      </c>
      <c r="ES12" t="e">
        <f>AND(GruposInv!B26,"AAAAABXn/5Q=")</f>
        <v>#VALUE!</v>
      </c>
      <c r="ET12" t="e">
        <f>AND(GruposInv!C26,"AAAAABXn/5U=")</f>
        <v>#VALUE!</v>
      </c>
      <c r="EU12" t="e">
        <f>AND(GruposInv!D26,"AAAAABXn/5Y=")</f>
        <v>#VALUE!</v>
      </c>
      <c r="EV12">
        <f>IF(GruposInv!27:27,"AAAAABXn/5c=",0)</f>
        <v>0</v>
      </c>
      <c r="EW12" t="e">
        <f>AND(GruposInv!A27,"AAAAABXn/5g=")</f>
        <v>#VALUE!</v>
      </c>
      <c r="EX12" t="e">
        <f>AND(GruposInv!B27,"AAAAABXn/5k=")</f>
        <v>#VALUE!</v>
      </c>
      <c r="EY12" t="e">
        <f>AND(GruposInv!C27,"AAAAABXn/5o=")</f>
        <v>#VALUE!</v>
      </c>
      <c r="EZ12" t="e">
        <f>AND(GruposInv!D27,"AAAAABXn/5s=")</f>
        <v>#VALUE!</v>
      </c>
      <c r="FA12">
        <f>IF(GruposInv!28:28,"AAAAABXn/5w=",0)</f>
        <v>0</v>
      </c>
      <c r="FB12" t="e">
        <f>AND(GruposInv!A28,"AAAAABXn/50=")</f>
        <v>#VALUE!</v>
      </c>
      <c r="FC12" t="e">
        <f>AND(GruposInv!B28,"AAAAABXn/54=")</f>
        <v>#VALUE!</v>
      </c>
      <c r="FD12" t="e">
        <f>AND(GruposInv!C28,"AAAAABXn/58=")</f>
        <v>#VALUE!</v>
      </c>
      <c r="FE12" t="e">
        <f>AND(GruposInv!D28,"AAAAABXn/6A=")</f>
        <v>#VALUE!</v>
      </c>
      <c r="FF12">
        <f>IF(GruposInv!29:29,"AAAAABXn/6E=",0)</f>
        <v>0</v>
      </c>
      <c r="FG12" t="e">
        <f>AND(GruposInv!A29,"AAAAABXn/6I=")</f>
        <v>#VALUE!</v>
      </c>
      <c r="FH12" t="e">
        <f>AND(GruposInv!B29,"AAAAABXn/6M=")</f>
        <v>#VALUE!</v>
      </c>
      <c r="FI12" t="e">
        <f>AND(GruposInv!C29,"AAAAABXn/6Q=")</f>
        <v>#VALUE!</v>
      </c>
      <c r="FJ12" t="e">
        <f>AND(GruposInv!D29,"AAAAABXn/6U=")</f>
        <v>#VALUE!</v>
      </c>
      <c r="FK12">
        <f>IF(GruposInv!30:30,"AAAAABXn/6Y=",0)</f>
        <v>0</v>
      </c>
      <c r="FL12" t="e">
        <f>AND(GruposInv!A30,"AAAAABXn/6c=")</f>
        <v>#VALUE!</v>
      </c>
      <c r="FM12" t="e">
        <f>AND(GruposInv!B30,"AAAAABXn/6g=")</f>
        <v>#VALUE!</v>
      </c>
      <c r="FN12" t="e">
        <f>AND(GruposInv!C30,"AAAAABXn/6k=")</f>
        <v>#VALUE!</v>
      </c>
      <c r="FO12" t="e">
        <f>AND(GruposInv!D30,"AAAAABXn/6o=")</f>
        <v>#VALUE!</v>
      </c>
      <c r="FP12">
        <f>IF(GruposInv!31:31,"AAAAABXn/6s=",0)</f>
        <v>0</v>
      </c>
      <c r="FQ12" t="e">
        <f>AND(GruposInv!A31,"AAAAABXn/6w=")</f>
        <v>#VALUE!</v>
      </c>
      <c r="FR12" t="e">
        <f>AND(GruposInv!B31,"AAAAABXn/60=")</f>
        <v>#VALUE!</v>
      </c>
      <c r="FS12" t="e">
        <f>AND(GruposInv!C31,"AAAAABXn/64=")</f>
        <v>#VALUE!</v>
      </c>
      <c r="FT12" t="e">
        <f>AND(GruposInv!D31,"AAAAABXn/68=")</f>
        <v>#VALUE!</v>
      </c>
      <c r="FU12">
        <f>IF(GruposInv!32:32,"AAAAABXn/7A=",0)</f>
        <v>0</v>
      </c>
      <c r="FV12" t="e">
        <f>AND(GruposInv!A32,"AAAAABXn/7E=")</f>
        <v>#VALUE!</v>
      </c>
      <c r="FW12" t="e">
        <f>AND(GruposInv!B32,"AAAAABXn/7I=")</f>
        <v>#VALUE!</v>
      </c>
      <c r="FX12" t="e">
        <f>AND(GruposInv!C32,"AAAAABXn/7M=")</f>
        <v>#VALUE!</v>
      </c>
      <c r="FY12" t="e">
        <f>AND(GruposInv!D32,"AAAAABXn/7Q=")</f>
        <v>#VALUE!</v>
      </c>
      <c r="FZ12">
        <f>IF(GruposInv!33:33,"AAAAABXn/7U=",0)</f>
        <v>0</v>
      </c>
      <c r="GA12" t="e">
        <f>AND(GruposInv!A33,"AAAAABXn/7Y=")</f>
        <v>#VALUE!</v>
      </c>
      <c r="GB12" t="e">
        <f>AND(GruposInv!B33,"AAAAABXn/7c=")</f>
        <v>#VALUE!</v>
      </c>
      <c r="GC12" t="e">
        <f>AND(GruposInv!C33,"AAAAABXn/7g=")</f>
        <v>#VALUE!</v>
      </c>
      <c r="GD12" t="e">
        <f>AND(GruposInv!D33,"AAAAABXn/7k=")</f>
        <v>#VALUE!</v>
      </c>
      <c r="GE12">
        <f>IF(GruposInv!34:34,"AAAAABXn/7o=",0)</f>
        <v>0</v>
      </c>
      <c r="GF12" t="e">
        <f>AND(GruposInv!A34,"AAAAABXn/7s=")</f>
        <v>#VALUE!</v>
      </c>
      <c r="GG12" t="e">
        <f>AND(GruposInv!B34,"AAAAABXn/7w=")</f>
        <v>#VALUE!</v>
      </c>
      <c r="GH12" t="e">
        <f>AND(GruposInv!C34,"AAAAABXn/70=")</f>
        <v>#VALUE!</v>
      </c>
      <c r="GI12" t="e">
        <f>AND(GruposInv!D34,"AAAAABXn/74=")</f>
        <v>#VALUE!</v>
      </c>
      <c r="GJ12">
        <f>IF(GruposInv!35:35,"AAAAABXn/78=",0)</f>
        <v>0</v>
      </c>
      <c r="GK12" t="e">
        <f>AND(GruposInv!A35,"AAAAABXn/8A=")</f>
        <v>#VALUE!</v>
      </c>
      <c r="GL12" t="e">
        <f>AND(GruposInv!B35,"AAAAABXn/8E=")</f>
        <v>#VALUE!</v>
      </c>
      <c r="GM12" t="e">
        <f>AND(GruposInv!C35,"AAAAABXn/8I=")</f>
        <v>#VALUE!</v>
      </c>
      <c r="GN12" t="e">
        <f>AND(GruposInv!D35,"AAAAABXn/8M=")</f>
        <v>#VALUE!</v>
      </c>
      <c r="GO12">
        <f>IF(GruposInv!36:36,"AAAAABXn/8Q=",0)</f>
        <v>0</v>
      </c>
      <c r="GP12" t="e">
        <f>AND(GruposInv!A36,"AAAAABXn/8U=")</f>
        <v>#VALUE!</v>
      </c>
      <c r="GQ12" t="e">
        <f>AND(GruposInv!B36,"AAAAABXn/8Y=")</f>
        <v>#VALUE!</v>
      </c>
      <c r="GR12" t="e">
        <f>AND(GruposInv!C36,"AAAAABXn/8c=")</f>
        <v>#VALUE!</v>
      </c>
      <c r="GS12" t="str">
        <f>IF(GruposInv!A:A,"AAAAABXn/8g=",0)</f>
        <v>AAAAABXn/8g=</v>
      </c>
      <c r="GT12" t="str">
        <f>IF(GruposInv!B:B,"AAAAABXn/8k=",0)</f>
        <v>AAAAABXn/8k=</v>
      </c>
      <c r="GU12" t="e">
        <f>IF(GruposInv!C:C,"AAAAABXn/8o=",0)</f>
        <v>#VALUE!</v>
      </c>
      <c r="GV12" t="e">
        <f>IF(GruposInv!D:D,"AAAAABXn/8s=",0)</f>
        <v>#VALUE!</v>
      </c>
      <c r="GW12">
        <f>IF(GruposProy!1:1,"AAAAABXn/8w=",0)</f>
        <v>0</v>
      </c>
      <c r="GX12" t="e">
        <f>AND(GruposProy!A1,"AAAAABXn/80=")</f>
        <v>#VALUE!</v>
      </c>
      <c r="GY12" t="e">
        <f>AND(GruposProy!B1,"AAAAABXn/84=")</f>
        <v>#VALUE!</v>
      </c>
      <c r="GZ12" t="e">
        <f>AND(GruposProy!C1,"AAAAABXn/88=")</f>
        <v>#VALUE!</v>
      </c>
      <c r="HA12">
        <f>IF(GruposProy!2:2,"AAAAABXn/9A=",0)</f>
        <v>0</v>
      </c>
      <c r="HB12" t="e">
        <f>AND(GruposProy!A2,"AAAAABXn/9E=")</f>
        <v>#VALUE!</v>
      </c>
      <c r="HC12" t="e">
        <f>AND(GruposProy!B2,"AAAAABXn/9I=")</f>
        <v>#VALUE!</v>
      </c>
      <c r="HD12" t="e">
        <f>AND(GruposProy!C2,"AAAAABXn/9M=")</f>
        <v>#VALUE!</v>
      </c>
      <c r="HE12" t="e">
        <f>IF(GruposProy!#REF!,"AAAAABXn/9Q=",0)</f>
        <v>#REF!</v>
      </c>
      <c r="HF12" t="e">
        <f>AND(GruposProy!#REF!,"AAAAABXn/9U=")</f>
        <v>#REF!</v>
      </c>
      <c r="HG12" t="e">
        <f>AND(GruposProy!#REF!,"AAAAABXn/9Y=")</f>
        <v>#REF!</v>
      </c>
      <c r="HH12" t="e">
        <f>AND(GruposProy!#REF!,"AAAAABXn/9c=")</f>
        <v>#REF!</v>
      </c>
      <c r="HI12" t="e">
        <f>IF(GruposProy!#REF!,"AAAAABXn/9g=",0)</f>
        <v>#REF!</v>
      </c>
      <c r="HJ12" t="e">
        <f>AND(GruposProy!#REF!,"AAAAABXn/9k=")</f>
        <v>#REF!</v>
      </c>
      <c r="HK12" t="e">
        <f>AND(GruposProy!#REF!,"AAAAABXn/9o=")</f>
        <v>#REF!</v>
      </c>
      <c r="HL12" t="e">
        <f>AND(GruposProy!#REF!,"AAAAABXn/9s=")</f>
        <v>#REF!</v>
      </c>
      <c r="HM12" t="e">
        <f>IF(GruposProy!#REF!,"AAAAABXn/9w=",0)</f>
        <v>#REF!</v>
      </c>
      <c r="HN12" t="e">
        <f>AND(GruposProy!#REF!,"AAAAABXn/90=")</f>
        <v>#REF!</v>
      </c>
      <c r="HO12" t="e">
        <f>AND(GruposProy!#REF!,"AAAAABXn/94=")</f>
        <v>#REF!</v>
      </c>
      <c r="HP12" t="e">
        <f>AND(GruposProy!#REF!,"AAAAABXn/98=")</f>
        <v>#REF!</v>
      </c>
      <c r="HQ12">
        <f>IF(GruposProy!3:3,"AAAAABXn/+A=",0)</f>
        <v>0</v>
      </c>
      <c r="HR12" t="e">
        <f>AND(GruposProy!A4,"AAAAABXn/+E=")</f>
        <v>#VALUE!</v>
      </c>
      <c r="HS12" t="e">
        <f>AND(GruposProy!B4,"AAAAABXn/+I=")</f>
        <v>#VALUE!</v>
      </c>
      <c r="HT12" t="e">
        <f>AND(GruposProy!C4,"AAAAABXn/+M=")</f>
        <v>#VALUE!</v>
      </c>
      <c r="HU12">
        <f>IF(GruposProy!4:4,"AAAAABXn/+Q=",0)</f>
        <v>0</v>
      </c>
      <c r="HV12" t="e">
        <f>AND(GruposProy!#REF!,"AAAAABXn/+U=")</f>
        <v>#REF!</v>
      </c>
      <c r="HW12" t="e">
        <f>AND(GruposProy!#REF!,"AAAAABXn/+Y=")</f>
        <v>#REF!</v>
      </c>
      <c r="HX12" t="e">
        <f>AND(GruposProy!#REF!,"AAAAABXn/+c=")</f>
        <v>#REF!</v>
      </c>
      <c r="HY12">
        <f>IF(GruposProy!5:5,"AAAAABXn/+g=",0)</f>
        <v>0</v>
      </c>
      <c r="HZ12" t="e">
        <f>AND(GruposProy!A5,"AAAAABXn/+k=")</f>
        <v>#VALUE!</v>
      </c>
      <c r="IA12" t="e">
        <f>AND(GruposProy!B5,"AAAAABXn/+o=")</f>
        <v>#VALUE!</v>
      </c>
      <c r="IB12" t="e">
        <f>AND(GruposProy!E5,"AAAAABXn/+s=")</f>
        <v>#VALUE!</v>
      </c>
      <c r="IC12">
        <f>IF(GruposProy!6:6,"AAAAABXn/+w=",0)</f>
        <v>0</v>
      </c>
      <c r="ID12" t="e">
        <f>AND(GruposProy!A6,"AAAAABXn/+0=")</f>
        <v>#VALUE!</v>
      </c>
      <c r="IE12" t="e">
        <f>AND(GruposProy!B6,"AAAAABXn/+4=")</f>
        <v>#VALUE!</v>
      </c>
      <c r="IF12" t="e">
        <f>AND(GruposProy!E6,"AAAAABXn/+8=")</f>
        <v>#VALUE!</v>
      </c>
      <c r="IG12">
        <f>IF(GruposProy!8:8,"AAAAABXn//A=",0)</f>
        <v>0</v>
      </c>
      <c r="IH12" t="e">
        <f>AND(GruposProy!A8,"AAAAABXn//E=")</f>
        <v>#VALUE!</v>
      </c>
      <c r="II12" t="e">
        <f>AND(GruposProy!B8,"AAAAABXn//I=")</f>
        <v>#VALUE!</v>
      </c>
      <c r="IJ12" t="e">
        <f>AND(GruposProy!E8,"AAAAABXn//M=")</f>
        <v>#VALUE!</v>
      </c>
      <c r="IK12" t="e">
        <f>IF(GruposProy!#REF!,"AAAAABXn//Q=",0)</f>
        <v>#REF!</v>
      </c>
      <c r="IL12" t="e">
        <f>AND(GruposProy!#REF!,"AAAAABXn//U=")</f>
        <v>#REF!</v>
      </c>
      <c r="IM12" t="e">
        <f>AND(GruposProy!#REF!,"AAAAABXn//Y=")</f>
        <v>#REF!</v>
      </c>
      <c r="IN12" t="e">
        <f>AND(GruposProy!#REF!,"AAAAABXn//c=")</f>
        <v>#REF!</v>
      </c>
      <c r="IO12">
        <f>IF(GruposProy!10:10,"AAAAABXn//g=",0)</f>
        <v>0</v>
      </c>
      <c r="IP12" t="e">
        <f>AND(GruposProy!A10,"AAAAABXn//k=")</f>
        <v>#VALUE!</v>
      </c>
      <c r="IQ12" t="e">
        <f>AND(GruposProy!B10,"AAAAABXn//o=")</f>
        <v>#VALUE!</v>
      </c>
      <c r="IR12" t="e">
        <f>AND(GruposProy!E10,"AAAAABXn//s=")</f>
        <v>#VALUE!</v>
      </c>
      <c r="IS12" t="e">
        <f>IF(GruposProy!#REF!,"AAAAABXn//w=",0)</f>
        <v>#REF!</v>
      </c>
      <c r="IT12" t="e">
        <f>AND(GruposProy!#REF!,"AAAAABXn//0=")</f>
        <v>#REF!</v>
      </c>
      <c r="IU12" t="e">
        <f>AND(GruposProy!#REF!,"AAAAABXn//4=")</f>
        <v>#REF!</v>
      </c>
      <c r="IV12" t="e">
        <f>AND(GruposProy!#REF!,"AAAAABXn//8=")</f>
        <v>#REF!</v>
      </c>
    </row>
    <row r="13" spans="1:256" x14ac:dyDescent="0.35">
      <c r="A13">
        <f>IF(GruposProy!13:13,"AAAAAD9tnAA=",0)</f>
        <v>0</v>
      </c>
      <c r="B13" t="e">
        <f>AND(GruposProy!A13,"AAAAAD9tnAE=")</f>
        <v>#VALUE!</v>
      </c>
      <c r="C13" t="e">
        <f>AND(GruposProy!B13,"AAAAAD9tnAI=")</f>
        <v>#VALUE!</v>
      </c>
      <c r="D13" t="e">
        <f>AND(GruposProy!E13,"AAAAAD9tnAM=")</f>
        <v>#VALUE!</v>
      </c>
      <c r="E13">
        <f>IF(GruposProy!14:14,"AAAAAD9tnAQ=",0)</f>
        <v>0</v>
      </c>
      <c r="F13" t="e">
        <f>AND(GruposProy!A14,"AAAAAD9tnAU=")</f>
        <v>#VALUE!</v>
      </c>
      <c r="G13" t="e">
        <f>AND(GruposProy!B14,"AAAAAD9tnAY=")</f>
        <v>#VALUE!</v>
      </c>
      <c r="H13" t="e">
        <f>AND(GruposProy!E14,"AAAAAD9tnAc=")</f>
        <v>#VALUE!</v>
      </c>
      <c r="I13">
        <f>IF(GruposProy!16:16,"AAAAAD9tnAg=",0)</f>
        <v>0</v>
      </c>
      <c r="J13" t="e">
        <f>AND(GruposProy!A16,"AAAAAD9tnAk=")</f>
        <v>#VALUE!</v>
      </c>
      <c r="K13" t="e">
        <f>AND(GruposProy!B16,"AAAAAD9tnAo=")</f>
        <v>#VALUE!</v>
      </c>
      <c r="L13" t="e">
        <f>AND(GruposProy!E16,"AAAAAD9tnAs=")</f>
        <v>#VALUE!</v>
      </c>
      <c r="M13">
        <f>IF(GruposProy!17:17,"AAAAAD9tnAw=",0)</f>
        <v>0</v>
      </c>
      <c r="N13" t="e">
        <f>AND(GruposProy!A17,"AAAAAD9tnA0=")</f>
        <v>#VALUE!</v>
      </c>
      <c r="O13" t="e">
        <f>AND(GruposProy!B17,"AAAAAD9tnA4=")</f>
        <v>#VALUE!</v>
      </c>
      <c r="P13" t="e">
        <f>AND(GruposProy!E17,"AAAAAD9tnA8=")</f>
        <v>#VALUE!</v>
      </c>
      <c r="Q13">
        <f>IF(GruposProy!18:18,"AAAAAD9tnBA=",0)</f>
        <v>0</v>
      </c>
      <c r="R13" t="e">
        <f>AND(GruposProy!A18,"AAAAAD9tnBE=")</f>
        <v>#VALUE!</v>
      </c>
      <c r="S13" t="e">
        <f>AND(GruposProy!B18,"AAAAAD9tnBI=")</f>
        <v>#VALUE!</v>
      </c>
      <c r="T13" t="e">
        <f>AND(GruposProy!E18,"AAAAAD9tnBM=")</f>
        <v>#VALUE!</v>
      </c>
      <c r="U13">
        <f>IF(GruposProy!20:20,"AAAAAD9tnBQ=",0)</f>
        <v>0</v>
      </c>
      <c r="V13" t="e">
        <f>AND(GruposProy!A20,"AAAAAD9tnBU=")</f>
        <v>#VALUE!</v>
      </c>
      <c r="W13" t="e">
        <f>AND(GruposProy!B20,"AAAAAD9tnBY=")</f>
        <v>#VALUE!</v>
      </c>
      <c r="X13" t="e">
        <f>AND(GruposProy!E20,"AAAAAD9tnBc=")</f>
        <v>#VALUE!</v>
      </c>
      <c r="Y13">
        <f>IF(GruposProy!21:21,"AAAAAD9tnBg=",0)</f>
        <v>0</v>
      </c>
      <c r="Z13" t="e">
        <f>AND(GruposProy!A21,"AAAAAD9tnBk=")</f>
        <v>#VALUE!</v>
      </c>
      <c r="AA13" t="e">
        <f>AND(GruposProy!B21,"AAAAAD9tnBo=")</f>
        <v>#VALUE!</v>
      </c>
      <c r="AB13" t="e">
        <f>AND(GruposProy!E21,"AAAAAD9tnBs=")</f>
        <v>#VALUE!</v>
      </c>
      <c r="AC13">
        <f>IF(GruposProy!22:22,"AAAAAD9tnBw=",0)</f>
        <v>0</v>
      </c>
      <c r="AD13" t="e">
        <f>AND(GruposProy!A22,"AAAAAD9tnB0=")</f>
        <v>#VALUE!</v>
      </c>
      <c r="AE13" t="e">
        <f>AND(GruposProy!B22,"AAAAAD9tnB4=")</f>
        <v>#VALUE!</v>
      </c>
      <c r="AF13" t="e">
        <f>AND(GruposProy!#REF!,"AAAAAD9tnB8=")</f>
        <v>#REF!</v>
      </c>
      <c r="AG13">
        <f>IF(GruposProy!24:24,"AAAAAD9tnCA=",0)</f>
        <v>0</v>
      </c>
      <c r="AH13" t="e">
        <f>AND(GruposProy!A24,"AAAAAD9tnCE=")</f>
        <v>#VALUE!</v>
      </c>
      <c r="AI13" t="e">
        <f>AND(GruposProy!B24,"AAAAAD9tnCI=")</f>
        <v>#VALUE!</v>
      </c>
      <c r="AJ13" t="e">
        <f>AND(GruposProy!#REF!,"AAAAAD9tnCM=")</f>
        <v>#REF!</v>
      </c>
      <c r="AK13">
        <f>IF(GruposProy!25:25,"AAAAAD9tnCQ=",0)</f>
        <v>0</v>
      </c>
      <c r="AL13" t="e">
        <f>AND(GruposProy!A25,"AAAAAD9tnCU=")</f>
        <v>#VALUE!</v>
      </c>
      <c r="AM13" t="e">
        <f>AND(GruposProy!B25,"AAAAAD9tnCY=")</f>
        <v>#VALUE!</v>
      </c>
      <c r="AN13" t="e">
        <f>AND(GruposProy!E25,"AAAAAD9tnCc=")</f>
        <v>#VALUE!</v>
      </c>
      <c r="AO13" t="e">
        <f>IF(GruposProy!#REF!,"AAAAAD9tnCg=",0)</f>
        <v>#REF!</v>
      </c>
      <c r="AP13" t="e">
        <f>AND(GruposProy!#REF!,"AAAAAD9tnCk=")</f>
        <v>#REF!</v>
      </c>
      <c r="AQ13" t="e">
        <f>AND(GruposProy!#REF!,"AAAAAD9tnCo=")</f>
        <v>#REF!</v>
      </c>
      <c r="AR13" t="e">
        <f>AND(GruposProy!#REF!,"AAAAAD9tnCs=")</f>
        <v>#REF!</v>
      </c>
      <c r="AS13" t="e">
        <f>IF(GruposProy!#REF!,"AAAAAD9tnCw=",0)</f>
        <v>#REF!</v>
      </c>
      <c r="AT13" t="e">
        <f>AND(GruposProy!#REF!,"AAAAAD9tnC0=")</f>
        <v>#REF!</v>
      </c>
      <c r="AU13" t="e">
        <f>AND(GruposProy!#REF!,"AAAAAD9tnC4=")</f>
        <v>#REF!</v>
      </c>
      <c r="AV13" t="e">
        <f>AND(GruposProy!#REF!,"AAAAAD9tnC8=")</f>
        <v>#REF!</v>
      </c>
      <c r="AW13" t="e">
        <f>IF(GruposProy!#REF!,"AAAAAD9tnDA=",0)</f>
        <v>#REF!</v>
      </c>
      <c r="AX13" t="e">
        <f>AND(GruposProy!#REF!,"AAAAAD9tnDE=")</f>
        <v>#REF!</v>
      </c>
      <c r="AY13" t="e">
        <f>AND(GruposProy!#REF!,"AAAAAD9tnDI=")</f>
        <v>#REF!</v>
      </c>
      <c r="AZ13" t="e">
        <f>AND(GruposProy!#REF!,"AAAAAD9tnDM=")</f>
        <v>#REF!</v>
      </c>
      <c r="BA13">
        <f>IF(GruposProy!26:26,"AAAAAD9tnDQ=",0)</f>
        <v>0</v>
      </c>
      <c r="BB13" t="e">
        <f>AND(GruposProy!A26,"AAAAAD9tnDU=")</f>
        <v>#VALUE!</v>
      </c>
      <c r="BC13" t="e">
        <f>AND(GruposProy!B26,"AAAAAD9tnDY=")</f>
        <v>#VALUE!</v>
      </c>
      <c r="BD13" t="e">
        <f>AND(GruposProy!C26,"AAAAAD9tnDc=")</f>
        <v>#VALUE!</v>
      </c>
      <c r="BE13">
        <f>IF(GruposProy!27:27,"AAAAAD9tnDg=",0)</f>
        <v>0</v>
      </c>
      <c r="BF13" t="e">
        <f>AND(GruposProy!A27,"AAAAAD9tnDk=")</f>
        <v>#VALUE!</v>
      </c>
      <c r="BG13" t="e">
        <f>AND(GruposProy!B27,"AAAAAD9tnDo=")</f>
        <v>#VALUE!</v>
      </c>
      <c r="BH13" t="e">
        <f>AND(GruposProy!C27,"AAAAAD9tnDs=")</f>
        <v>#VALUE!</v>
      </c>
      <c r="BI13">
        <f>IF(GruposProy!28:28,"AAAAAD9tnDw=",0)</f>
        <v>0</v>
      </c>
      <c r="BJ13" t="e">
        <f>AND(GruposProy!A28,"AAAAAD9tnD0=")</f>
        <v>#VALUE!</v>
      </c>
      <c r="BK13" t="e">
        <f>AND(GruposProy!B28,"AAAAAD9tnD4=")</f>
        <v>#VALUE!</v>
      </c>
      <c r="BL13" t="e">
        <f>AND(GruposProy!C28,"AAAAAD9tnD8=")</f>
        <v>#VALUE!</v>
      </c>
      <c r="BM13">
        <f>IF(GruposProy!29:29,"AAAAAD9tnEA=",0)</f>
        <v>0</v>
      </c>
      <c r="BN13" t="e">
        <f>AND(GruposProy!A29,"AAAAAD9tnEE=")</f>
        <v>#VALUE!</v>
      </c>
      <c r="BO13" t="e">
        <f>AND(GruposProy!B29,"AAAAAD9tnEI=")</f>
        <v>#VALUE!</v>
      </c>
      <c r="BP13" t="e">
        <f>AND(GruposProy!C29,"AAAAAD9tnEM=")</f>
        <v>#VALUE!</v>
      </c>
      <c r="BQ13">
        <f>IF(GruposProy!30:30,"AAAAAD9tnEQ=",0)</f>
        <v>0</v>
      </c>
      <c r="BR13" t="e">
        <f>AND(GruposProy!A30,"AAAAAD9tnEU=")</f>
        <v>#VALUE!</v>
      </c>
      <c r="BS13" t="e">
        <f>AND(GruposProy!B30,"AAAAAD9tnEY=")</f>
        <v>#VALUE!</v>
      </c>
      <c r="BT13" t="e">
        <f>AND(GruposProy!C30,"AAAAAD9tnEc=")</f>
        <v>#VALUE!</v>
      </c>
      <c r="BU13">
        <f>IF(GruposProy!31:31,"AAAAAD9tnEg=",0)</f>
        <v>0</v>
      </c>
      <c r="BV13" t="e">
        <f>AND(GruposProy!A31,"AAAAAD9tnEk=")</f>
        <v>#VALUE!</v>
      </c>
      <c r="BW13" t="e">
        <f>AND(GruposProy!B31,"AAAAAD9tnEo=")</f>
        <v>#VALUE!</v>
      </c>
      <c r="BX13" t="e">
        <f>AND(GruposProy!C31,"AAAAAD9tnEs=")</f>
        <v>#VALUE!</v>
      </c>
      <c r="BY13">
        <f>IF(GruposProy!32:32,"AAAAAD9tnEw=",0)</f>
        <v>0</v>
      </c>
      <c r="BZ13" t="e">
        <f>AND(GruposProy!A32,"AAAAAD9tnE0=")</f>
        <v>#VALUE!</v>
      </c>
      <c r="CA13" t="e">
        <f>AND(GruposProy!B32,"AAAAAD9tnE4=")</f>
        <v>#VALUE!</v>
      </c>
      <c r="CB13" t="e">
        <f>AND(GruposProy!C32,"AAAAAD9tnE8=")</f>
        <v>#VALUE!</v>
      </c>
      <c r="CC13">
        <f>IF(GruposProy!33:33,"AAAAAD9tnFA=",0)</f>
        <v>0</v>
      </c>
      <c r="CD13" t="e">
        <f>AND(GruposProy!A33,"AAAAAD9tnFE=")</f>
        <v>#VALUE!</v>
      </c>
      <c r="CE13" t="e">
        <f>AND(GruposProy!B33,"AAAAAD9tnFI=")</f>
        <v>#VALUE!</v>
      </c>
      <c r="CF13" t="e">
        <f>AND(GruposProy!C33,"AAAAAD9tnFM=")</f>
        <v>#VALUE!</v>
      </c>
      <c r="CG13">
        <f>IF(GruposProy!34:34,"AAAAAD9tnFQ=",0)</f>
        <v>0</v>
      </c>
      <c r="CH13" t="e">
        <f>AND(GruposProy!A34,"AAAAAD9tnFU=")</f>
        <v>#VALUE!</v>
      </c>
      <c r="CI13" t="e">
        <f>AND(GruposProy!B34,"AAAAAD9tnFY=")</f>
        <v>#VALUE!</v>
      </c>
      <c r="CJ13" t="e">
        <f>AND(GruposProy!C34,"AAAAAD9tnFc=")</f>
        <v>#VALUE!</v>
      </c>
      <c r="CK13">
        <f>IF(GruposProy!35:35,"AAAAAD9tnFg=",0)</f>
        <v>0</v>
      </c>
      <c r="CL13" t="e">
        <f>AND(GruposProy!A35,"AAAAAD9tnFk=")</f>
        <v>#VALUE!</v>
      </c>
      <c r="CM13" t="e">
        <f>AND(GruposProy!B35,"AAAAAD9tnFo=")</f>
        <v>#VALUE!</v>
      </c>
      <c r="CN13" t="e">
        <f>AND(GruposProy!C35,"AAAAAD9tnFs=")</f>
        <v>#VALUE!</v>
      </c>
      <c r="CO13">
        <f>IF(GruposProy!36:36,"AAAAAD9tnFw=",0)</f>
        <v>0</v>
      </c>
      <c r="CP13" t="e">
        <f>AND(GruposProy!A36,"AAAAAD9tnF0=")</f>
        <v>#VALUE!</v>
      </c>
      <c r="CQ13" t="e">
        <f>AND(GruposProy!B36,"AAAAAD9tnF4=")</f>
        <v>#VALUE!</v>
      </c>
      <c r="CR13" t="e">
        <f>AND(GruposProy!C36,"AAAAAD9tnF8=")</f>
        <v>#VALUE!</v>
      </c>
      <c r="CS13">
        <f>IF(GruposProy!37:37,"AAAAAD9tnGA=",0)</f>
        <v>0</v>
      </c>
      <c r="CT13" t="e">
        <f>AND(GruposProy!A37,"AAAAAD9tnGE=")</f>
        <v>#VALUE!</v>
      </c>
      <c r="CU13" t="e">
        <f>AND(GruposProy!B37,"AAAAAD9tnGI=")</f>
        <v>#VALUE!</v>
      </c>
      <c r="CV13" t="e">
        <f>AND(GruposProy!C37,"AAAAAD9tnGM=")</f>
        <v>#VALUE!</v>
      </c>
      <c r="CW13">
        <f>IF(GruposProy!38:38,"AAAAAD9tnGQ=",0)</f>
        <v>0</v>
      </c>
      <c r="CX13" t="e">
        <f>AND(GruposProy!A38,"AAAAAD9tnGU=")</f>
        <v>#VALUE!</v>
      </c>
      <c r="CY13" t="e">
        <f>AND(GruposProy!B38,"AAAAAD9tnGY=")</f>
        <v>#VALUE!</v>
      </c>
      <c r="CZ13" t="e">
        <f>AND(GruposProy!C38,"AAAAAD9tnGc=")</f>
        <v>#VALUE!</v>
      </c>
      <c r="DA13">
        <f>IF(GruposProy!39:39,"AAAAAD9tnGg=",0)</f>
        <v>0</v>
      </c>
      <c r="DB13" t="e">
        <f>AND(GruposProy!A39,"AAAAAD9tnGk=")</f>
        <v>#VALUE!</v>
      </c>
      <c r="DC13" t="e">
        <f>AND(GruposProy!B39,"AAAAAD9tnGo=")</f>
        <v>#VALUE!</v>
      </c>
      <c r="DD13" t="e">
        <f>AND(GruposProy!C39,"AAAAAD9tnGs=")</f>
        <v>#VALUE!</v>
      </c>
      <c r="DE13">
        <f>IF(GruposProy!40:40,"AAAAAD9tnGw=",0)</f>
        <v>0</v>
      </c>
      <c r="DF13" t="e">
        <f>AND(GruposProy!A40,"AAAAAD9tnG0=")</f>
        <v>#VALUE!</v>
      </c>
      <c r="DG13" t="e">
        <f>AND(GruposProy!B40,"AAAAAD9tnG4=")</f>
        <v>#VALUE!</v>
      </c>
      <c r="DH13" t="e">
        <f>AND(GruposProy!C40,"AAAAAD9tnG8=")</f>
        <v>#VALUE!</v>
      </c>
      <c r="DI13">
        <f>IF(GruposProy!41:41,"AAAAAD9tnHA=",0)</f>
        <v>0</v>
      </c>
      <c r="DJ13" t="e">
        <f>AND(GruposProy!A41,"AAAAAD9tnHE=")</f>
        <v>#VALUE!</v>
      </c>
      <c r="DK13" t="e">
        <f>AND(GruposProy!B41,"AAAAAD9tnHI=")</f>
        <v>#VALUE!</v>
      </c>
      <c r="DL13" t="e">
        <f>AND(GruposProy!C41,"AAAAAD9tnHM=")</f>
        <v>#VALUE!</v>
      </c>
      <c r="DM13">
        <f>IF(GruposProy!42:42,"AAAAAD9tnHQ=",0)</f>
        <v>0</v>
      </c>
      <c r="DN13" t="e">
        <f>AND(GruposProy!A42,"AAAAAD9tnHU=")</f>
        <v>#VALUE!</v>
      </c>
      <c r="DO13" t="e">
        <f>AND(GruposProy!B42,"AAAAAD9tnHY=")</f>
        <v>#VALUE!</v>
      </c>
      <c r="DP13" t="e">
        <f>AND(GruposProy!C42,"AAAAAD9tnHc=")</f>
        <v>#VALUE!</v>
      </c>
      <c r="DQ13">
        <f>IF(GruposProy!43:43,"AAAAAD9tnHg=",0)</f>
        <v>0</v>
      </c>
      <c r="DR13" t="e">
        <f>AND(GruposProy!A43,"AAAAAD9tnHk=")</f>
        <v>#VALUE!</v>
      </c>
      <c r="DS13" t="e">
        <f>AND(GruposProy!B43,"AAAAAD9tnHo=")</f>
        <v>#VALUE!</v>
      </c>
      <c r="DT13" t="e">
        <f>AND(GruposProy!C43,"AAAAAD9tnHs=")</f>
        <v>#VALUE!</v>
      </c>
      <c r="DU13">
        <f>IF(GruposProy!44:44,"AAAAAD9tnHw=",0)</f>
        <v>0</v>
      </c>
      <c r="DV13" t="e">
        <f>AND(GruposProy!A44,"AAAAAD9tnH0=")</f>
        <v>#VALUE!</v>
      </c>
      <c r="DW13" t="e">
        <f>AND(GruposProy!B44,"AAAAAD9tnH4=")</f>
        <v>#VALUE!</v>
      </c>
      <c r="DX13" t="e">
        <f>AND(GruposProy!C44,"AAAAAD9tnH8=")</f>
        <v>#VALUE!</v>
      </c>
      <c r="DY13">
        <f>IF(GruposProy!45:45,"AAAAAD9tnIA=",0)</f>
        <v>0</v>
      </c>
      <c r="DZ13" t="e">
        <f>AND(GruposProy!A45,"AAAAAD9tnIE=")</f>
        <v>#VALUE!</v>
      </c>
      <c r="EA13" t="e">
        <f>AND(GruposProy!B45,"AAAAAD9tnII=")</f>
        <v>#VALUE!</v>
      </c>
      <c r="EB13" t="e">
        <f>AND(GruposProy!C45,"AAAAAD9tnIM=")</f>
        <v>#VALUE!</v>
      </c>
      <c r="EC13">
        <f>IF(GruposProy!46:46,"AAAAAD9tnIQ=",0)</f>
        <v>0</v>
      </c>
      <c r="ED13" t="e">
        <f>AND(GruposProy!A46,"AAAAAD9tnIU=")</f>
        <v>#VALUE!</v>
      </c>
      <c r="EE13" t="e">
        <f>AND(GruposProy!B46,"AAAAAD9tnIY=")</f>
        <v>#VALUE!</v>
      </c>
      <c r="EF13" t="e">
        <f>AND(GruposProy!C46,"AAAAAD9tnIc=")</f>
        <v>#VALUE!</v>
      </c>
      <c r="EG13">
        <f>IF(GruposProy!47:47,"AAAAAD9tnIg=",0)</f>
        <v>0</v>
      </c>
      <c r="EH13" t="e">
        <f>AND(GruposProy!A47,"AAAAAD9tnIk=")</f>
        <v>#VALUE!</v>
      </c>
      <c r="EI13" t="e">
        <f>AND(GruposProy!B47,"AAAAAD9tnIo=")</f>
        <v>#VALUE!</v>
      </c>
      <c r="EJ13" t="e">
        <f>AND(GruposProy!C47,"AAAAAD9tnIs=")</f>
        <v>#VALUE!</v>
      </c>
      <c r="EK13">
        <f>IF(GruposProy!48:48,"AAAAAD9tnIw=",0)</f>
        <v>0</v>
      </c>
      <c r="EL13" t="e">
        <f>AND(GruposProy!A48,"AAAAAD9tnI0=")</f>
        <v>#VALUE!</v>
      </c>
      <c r="EM13" t="e">
        <f>AND(GruposProy!B48,"AAAAAD9tnI4=")</f>
        <v>#VALUE!</v>
      </c>
      <c r="EN13" t="e">
        <f>AND(GruposProy!C48,"AAAAAD9tnI8=")</f>
        <v>#VALUE!</v>
      </c>
      <c r="EO13">
        <f>IF(GruposProy!49:49,"AAAAAD9tnJA=",0)</f>
        <v>0</v>
      </c>
      <c r="EP13" t="e">
        <f>AND(GruposProy!A49,"AAAAAD9tnJE=")</f>
        <v>#VALUE!</v>
      </c>
      <c r="EQ13" t="e">
        <f>AND(GruposProy!B49,"AAAAAD9tnJI=")</f>
        <v>#VALUE!</v>
      </c>
      <c r="ER13" t="e">
        <f>AND(GruposProy!C49,"AAAAAD9tnJM=")</f>
        <v>#VALUE!</v>
      </c>
      <c r="ES13">
        <f>IF(GruposProy!A:A,"AAAAAD9tnJQ=",0)</f>
        <v>0</v>
      </c>
      <c r="ET13">
        <f>IF(GruposProy!B:B,"AAAAAD9tnJU=",0)</f>
        <v>0</v>
      </c>
      <c r="EU13">
        <f>IF(GruposProy!C:C,"AAAAAD9tnJY=",0)</f>
        <v>0</v>
      </c>
      <c r="EV13" t="e">
        <f>IF(#REF!,"AAAAAD9tnJc=",0)</f>
        <v>#REF!</v>
      </c>
      <c r="EW13" t="e">
        <f>AND(#REF!,"AAAAAD9tnJg=")</f>
        <v>#REF!</v>
      </c>
      <c r="EX13" t="e">
        <f>AND(#REF!,"AAAAAD9tnJk=")</f>
        <v>#REF!</v>
      </c>
      <c r="EY13" t="e">
        <f>AND(#REF!,"AAAAAD9tnJo=")</f>
        <v>#REF!</v>
      </c>
      <c r="EZ13" t="e">
        <f>IF(#REF!,"AAAAAD9tnJs=",0)</f>
        <v>#REF!</v>
      </c>
      <c r="FA13" t="e">
        <f>AND(#REF!,"AAAAAD9tnJw=")</f>
        <v>#REF!</v>
      </c>
      <c r="FB13" t="e">
        <f>AND(#REF!,"AAAAAD9tnJ0=")</f>
        <v>#REF!</v>
      </c>
      <c r="FC13" t="e">
        <f>AND(#REF!,"AAAAAD9tnJ4=")</f>
        <v>#REF!</v>
      </c>
      <c r="FD13" t="e">
        <f>IF(#REF!,"AAAAAD9tnJ8=",0)</f>
        <v>#REF!</v>
      </c>
      <c r="FE13" t="e">
        <f>AND(#REF!,"AAAAAD9tnKA=")</f>
        <v>#REF!</v>
      </c>
      <c r="FF13" t="e">
        <f>AND(#REF!,"AAAAAD9tnKE=")</f>
        <v>#REF!</v>
      </c>
      <c r="FG13" t="e">
        <f>AND(#REF!,"AAAAAD9tnKI=")</f>
        <v>#REF!</v>
      </c>
      <c r="FH13" t="e">
        <f>IF(#REF!,"AAAAAD9tnKM=",0)</f>
        <v>#REF!</v>
      </c>
      <c r="FI13" t="e">
        <f>AND(#REF!,"AAAAAD9tnKQ=")</f>
        <v>#REF!</v>
      </c>
      <c r="FJ13" t="e">
        <f>AND(#REF!,"AAAAAD9tnKU=")</f>
        <v>#REF!</v>
      </c>
      <c r="FK13" t="e">
        <f>AND(#REF!,"AAAAAD9tnKY=")</f>
        <v>#REF!</v>
      </c>
      <c r="FL13" t="e">
        <f>IF(#REF!,"AAAAAD9tnKc=",0)</f>
        <v>#REF!</v>
      </c>
      <c r="FM13" t="e">
        <f>AND(#REF!,"AAAAAD9tnKg=")</f>
        <v>#REF!</v>
      </c>
      <c r="FN13" t="e">
        <f>AND(#REF!,"AAAAAD9tnKk=")</f>
        <v>#REF!</v>
      </c>
      <c r="FO13" t="e">
        <f>AND(#REF!,"AAAAAD9tnKo=")</f>
        <v>#REF!</v>
      </c>
      <c r="FP13" t="e">
        <f>IF(#REF!,"AAAAAD9tnKs=",0)</f>
        <v>#REF!</v>
      </c>
      <c r="FQ13" t="e">
        <f>AND(#REF!,"AAAAAD9tnKw=")</f>
        <v>#REF!</v>
      </c>
      <c r="FR13" t="e">
        <f>AND(#REF!,"AAAAAD9tnK0=")</f>
        <v>#REF!</v>
      </c>
      <c r="FS13" t="e">
        <f>AND(#REF!,"AAAAAD9tnK4=")</f>
        <v>#REF!</v>
      </c>
      <c r="FT13" t="e">
        <f>IF(#REF!,"AAAAAD9tnK8=",0)</f>
        <v>#REF!</v>
      </c>
      <c r="FU13" t="e">
        <f>AND(#REF!,"AAAAAD9tnLA=")</f>
        <v>#REF!</v>
      </c>
      <c r="FV13" t="e">
        <f>AND(#REF!,"AAAAAD9tnLE=")</f>
        <v>#REF!</v>
      </c>
      <c r="FW13" t="e">
        <f>AND(#REF!,"AAAAAD9tnLI=")</f>
        <v>#REF!</v>
      </c>
      <c r="FX13" t="e">
        <f>IF(#REF!,"AAAAAD9tnLM=",0)</f>
        <v>#REF!</v>
      </c>
      <c r="FY13" t="e">
        <f>AND(#REF!,"AAAAAD9tnLQ=")</f>
        <v>#REF!</v>
      </c>
      <c r="FZ13" t="e">
        <f>AND(#REF!,"AAAAAD9tnLU=")</f>
        <v>#REF!</v>
      </c>
      <c r="GA13" t="e">
        <f>AND(#REF!,"AAAAAD9tnLY=")</f>
        <v>#REF!</v>
      </c>
      <c r="GB13" t="e">
        <f>IF(#REF!,"AAAAAD9tnLc=",0)</f>
        <v>#REF!</v>
      </c>
      <c r="GC13" t="e">
        <f>AND(#REF!,"AAAAAD9tnLg=")</f>
        <v>#REF!</v>
      </c>
      <c r="GD13" t="e">
        <f>AND(#REF!,"AAAAAD9tnLk=")</f>
        <v>#REF!</v>
      </c>
      <c r="GE13" t="e">
        <f>AND(#REF!,"AAAAAD9tnLo=")</f>
        <v>#REF!</v>
      </c>
      <c r="GF13" t="e">
        <f>IF(#REF!,"AAAAAD9tnLs=",0)</f>
        <v>#REF!</v>
      </c>
      <c r="GG13" t="e">
        <f>AND(#REF!,"AAAAAD9tnLw=")</f>
        <v>#REF!</v>
      </c>
      <c r="GH13" t="e">
        <f>AND(#REF!,"AAAAAD9tnL0=")</f>
        <v>#REF!</v>
      </c>
      <c r="GI13" t="e">
        <f>AND(#REF!,"AAAAAD9tnL4=")</f>
        <v>#REF!</v>
      </c>
      <c r="GJ13" t="e">
        <f>IF(#REF!,"AAAAAD9tnL8=",0)</f>
        <v>#REF!</v>
      </c>
      <c r="GK13" t="e">
        <f>AND(#REF!,"AAAAAD9tnMA=")</f>
        <v>#REF!</v>
      </c>
      <c r="GL13" t="e">
        <f>AND(#REF!,"AAAAAD9tnME=")</f>
        <v>#REF!</v>
      </c>
      <c r="GM13" t="e">
        <f>AND(#REF!,"AAAAAD9tnMI=")</f>
        <v>#REF!</v>
      </c>
      <c r="GN13" t="e">
        <f>IF(#REF!,"AAAAAD9tnMM=",0)</f>
        <v>#REF!</v>
      </c>
      <c r="GO13" t="e">
        <f>AND(#REF!,"AAAAAD9tnMQ=")</f>
        <v>#REF!</v>
      </c>
      <c r="GP13" t="e">
        <f>AND(#REF!,"AAAAAD9tnMU=")</f>
        <v>#REF!</v>
      </c>
      <c r="GQ13" t="e">
        <f>AND(#REF!,"AAAAAD9tnMY=")</f>
        <v>#REF!</v>
      </c>
      <c r="GR13" t="e">
        <f>IF(#REF!,"AAAAAD9tnMc=",0)</f>
        <v>#REF!</v>
      </c>
      <c r="GS13" t="e">
        <f>AND(#REF!,"AAAAAD9tnMg=")</f>
        <v>#REF!</v>
      </c>
      <c r="GT13" t="e">
        <f>AND(#REF!,"AAAAAD9tnMk=")</f>
        <v>#REF!</v>
      </c>
      <c r="GU13" t="e">
        <f>AND(#REF!,"AAAAAD9tnMo=")</f>
        <v>#REF!</v>
      </c>
      <c r="GV13" t="e">
        <f>IF(#REF!,"AAAAAD9tnMs=",0)</f>
        <v>#REF!</v>
      </c>
      <c r="GW13" t="e">
        <f>AND(#REF!,"AAAAAD9tnMw=")</f>
        <v>#REF!</v>
      </c>
      <c r="GX13" t="e">
        <f>AND(#REF!,"AAAAAD9tnM0=")</f>
        <v>#REF!</v>
      </c>
      <c r="GY13" t="e">
        <f>AND(#REF!,"AAAAAD9tnM4=")</f>
        <v>#REF!</v>
      </c>
      <c r="GZ13" t="e">
        <f>IF(#REF!,"AAAAAD9tnM8=",0)</f>
        <v>#REF!</v>
      </c>
      <c r="HA13" t="e">
        <f>AND(#REF!,"AAAAAD9tnNA=")</f>
        <v>#REF!</v>
      </c>
      <c r="HB13" t="e">
        <f>AND(#REF!,"AAAAAD9tnNE=")</f>
        <v>#REF!</v>
      </c>
      <c r="HC13" t="e">
        <f>AND(#REF!,"AAAAAD9tnNI=")</f>
        <v>#REF!</v>
      </c>
      <c r="HD13" t="e">
        <f>IF(#REF!,"AAAAAD9tnNM=",0)</f>
        <v>#REF!</v>
      </c>
      <c r="HE13" t="e">
        <f>AND(#REF!,"AAAAAD9tnNQ=")</f>
        <v>#REF!</v>
      </c>
      <c r="HF13" t="e">
        <f>AND(#REF!,"AAAAAD9tnNU=")</f>
        <v>#REF!</v>
      </c>
      <c r="HG13" t="e">
        <f>AND(#REF!,"AAAAAD9tnNY=")</f>
        <v>#REF!</v>
      </c>
      <c r="HH13" t="e">
        <f>IF(#REF!,"AAAAAD9tnNc=",0)</f>
        <v>#REF!</v>
      </c>
      <c r="HI13" t="e">
        <f>AND(#REF!,"AAAAAD9tnNg=")</f>
        <v>#REF!</v>
      </c>
      <c r="HJ13" t="e">
        <f>AND(#REF!,"AAAAAD9tnNk=")</f>
        <v>#REF!</v>
      </c>
      <c r="HK13" t="e">
        <f>AND(#REF!,"AAAAAD9tnNo=")</f>
        <v>#REF!</v>
      </c>
      <c r="HL13" t="e">
        <f>IF(#REF!,"AAAAAD9tnNs=",0)</f>
        <v>#REF!</v>
      </c>
      <c r="HM13" t="e">
        <f>AND(#REF!,"AAAAAD9tnNw=")</f>
        <v>#REF!</v>
      </c>
      <c r="HN13" t="e">
        <f>AND(#REF!,"AAAAAD9tnN0=")</f>
        <v>#REF!</v>
      </c>
      <c r="HO13" t="e">
        <f>AND(#REF!,"AAAAAD9tnN4=")</f>
        <v>#REF!</v>
      </c>
      <c r="HP13" t="e">
        <f>IF(#REF!,"AAAAAD9tnN8=",0)</f>
        <v>#REF!</v>
      </c>
      <c r="HQ13" t="e">
        <f>AND(#REF!,"AAAAAD9tnOA=")</f>
        <v>#REF!</v>
      </c>
      <c r="HR13" t="e">
        <f>AND(#REF!,"AAAAAD9tnOE=")</f>
        <v>#REF!</v>
      </c>
      <c r="HS13" t="e">
        <f>AND(#REF!,"AAAAAD9tnOI=")</f>
        <v>#REF!</v>
      </c>
      <c r="HT13" t="e">
        <f>IF(#REF!,"AAAAAD9tnOM=",0)</f>
        <v>#REF!</v>
      </c>
      <c r="HU13" t="e">
        <f>AND(#REF!,"AAAAAD9tnOQ=")</f>
        <v>#REF!</v>
      </c>
      <c r="HV13" t="e">
        <f>AND(#REF!,"AAAAAD9tnOU=")</f>
        <v>#REF!</v>
      </c>
      <c r="HW13" t="e">
        <f>AND(#REF!,"AAAAAD9tnOY=")</f>
        <v>#REF!</v>
      </c>
      <c r="HX13" t="e">
        <f>IF(#REF!,"AAAAAD9tnOc=",0)</f>
        <v>#REF!</v>
      </c>
      <c r="HY13" t="e">
        <f>AND(#REF!,"AAAAAD9tnOg=")</f>
        <v>#REF!</v>
      </c>
      <c r="HZ13" t="e">
        <f>AND(#REF!,"AAAAAD9tnOk=")</f>
        <v>#REF!</v>
      </c>
      <c r="IA13" t="e">
        <f>AND(#REF!,"AAAAAD9tnOo=")</f>
        <v>#REF!</v>
      </c>
      <c r="IB13" t="e">
        <f>IF(#REF!,"AAAAAD9tnOs=",0)</f>
        <v>#REF!</v>
      </c>
      <c r="IC13" t="e">
        <f>AND(#REF!,"AAAAAD9tnOw=")</f>
        <v>#REF!</v>
      </c>
      <c r="ID13" t="e">
        <f>AND(#REF!,"AAAAAD9tnO0=")</f>
        <v>#REF!</v>
      </c>
      <c r="IE13" t="e">
        <f>AND(#REF!,"AAAAAD9tnO4=")</f>
        <v>#REF!</v>
      </c>
      <c r="IF13" t="e">
        <f>IF(#REF!,"AAAAAD9tnO8=",0)</f>
        <v>#REF!</v>
      </c>
      <c r="IG13" t="e">
        <f>AND(#REF!,"AAAAAD9tnPA=")</f>
        <v>#REF!</v>
      </c>
      <c r="IH13" t="e">
        <f>AND(#REF!,"AAAAAD9tnPE=")</f>
        <v>#REF!</v>
      </c>
      <c r="II13" t="e">
        <f>AND(#REF!,"AAAAAD9tnPI=")</f>
        <v>#REF!</v>
      </c>
      <c r="IJ13" t="e">
        <f>IF(#REF!,"AAAAAD9tnPM=",0)</f>
        <v>#REF!</v>
      </c>
      <c r="IK13" t="e">
        <f>AND(#REF!,"AAAAAD9tnPQ=")</f>
        <v>#REF!</v>
      </c>
      <c r="IL13" t="e">
        <f>AND(#REF!,"AAAAAD9tnPU=")</f>
        <v>#REF!</v>
      </c>
      <c r="IM13" t="e">
        <f>AND(#REF!,"AAAAAD9tnPY=")</f>
        <v>#REF!</v>
      </c>
      <c r="IN13" t="e">
        <f>IF(#REF!,"AAAAAD9tnPc=",0)</f>
        <v>#REF!</v>
      </c>
      <c r="IO13" t="e">
        <f>AND(#REF!,"AAAAAD9tnPg=")</f>
        <v>#REF!</v>
      </c>
      <c r="IP13" t="e">
        <f>AND(#REF!,"AAAAAD9tnPk=")</f>
        <v>#REF!</v>
      </c>
      <c r="IQ13" t="e">
        <f>AND(#REF!,"AAAAAD9tnPo=")</f>
        <v>#REF!</v>
      </c>
      <c r="IR13" t="e">
        <f>IF(#REF!,"AAAAAD9tnPs=",0)</f>
        <v>#REF!</v>
      </c>
      <c r="IS13" t="e">
        <f>AND(#REF!,"AAAAAD9tnPw=")</f>
        <v>#REF!</v>
      </c>
      <c r="IT13" t="e">
        <f>AND(#REF!,"AAAAAD9tnP0=")</f>
        <v>#REF!</v>
      </c>
      <c r="IU13" t="e">
        <f>AND(#REF!,"AAAAAD9tnP4=")</f>
        <v>#REF!</v>
      </c>
      <c r="IV13" t="e">
        <f>IF(#REF!,"AAAAAD9tnP8=",0)</f>
        <v>#REF!</v>
      </c>
    </row>
    <row r="14" spans="1:256" x14ac:dyDescent="0.35">
      <c r="A14" t="e">
        <f>AND(#REF!,"AAAAABP//AA=")</f>
        <v>#REF!</v>
      </c>
      <c r="B14" t="e">
        <f>AND(#REF!,"AAAAABP//AE=")</f>
        <v>#REF!</v>
      </c>
      <c r="C14" t="e">
        <f>AND(#REF!,"AAAAABP//AI=")</f>
        <v>#REF!</v>
      </c>
      <c r="D14" t="e">
        <f>IF(#REF!,"AAAAABP//AM=",0)</f>
        <v>#REF!</v>
      </c>
      <c r="E14" t="e">
        <f>AND(#REF!,"AAAAABP//AQ=")</f>
        <v>#REF!</v>
      </c>
      <c r="F14" t="e">
        <f>AND(#REF!,"AAAAABP//AU=")</f>
        <v>#REF!</v>
      </c>
      <c r="G14" t="e">
        <f>AND(#REF!,"AAAAABP//AY=")</f>
        <v>#REF!</v>
      </c>
      <c r="H14" t="e">
        <f>IF(#REF!,"AAAAABP//Ac=",0)</f>
        <v>#REF!</v>
      </c>
      <c r="I14" t="e">
        <f>AND(#REF!,"AAAAABP//Ag=")</f>
        <v>#REF!</v>
      </c>
      <c r="J14" t="e">
        <f>AND(#REF!,"AAAAABP//Ak=")</f>
        <v>#REF!</v>
      </c>
      <c r="K14" t="e">
        <f>AND(#REF!,"AAAAABP//Ao=")</f>
        <v>#REF!</v>
      </c>
      <c r="L14" t="e">
        <f>IF(#REF!,"AAAAABP//As=",0)</f>
        <v>#REF!</v>
      </c>
      <c r="M14" t="e">
        <f>AND(#REF!,"AAAAABP//Aw=")</f>
        <v>#REF!</v>
      </c>
      <c r="N14" t="e">
        <f>AND(#REF!,"AAAAABP//A0=")</f>
        <v>#REF!</v>
      </c>
      <c r="O14" t="e">
        <f>AND(#REF!,"AAAAABP//A4=")</f>
        <v>#REF!</v>
      </c>
      <c r="P14" t="e">
        <f>IF(#REF!,"AAAAABP//A8=",0)</f>
        <v>#REF!</v>
      </c>
      <c r="Q14" t="e">
        <f>AND(#REF!,"AAAAABP//BA=")</f>
        <v>#REF!</v>
      </c>
      <c r="R14" t="e">
        <f>AND(#REF!,"AAAAABP//BE=")</f>
        <v>#REF!</v>
      </c>
      <c r="S14" t="e">
        <f>AND(#REF!,"AAAAABP//BI=")</f>
        <v>#REF!</v>
      </c>
      <c r="T14" t="e">
        <f>IF(#REF!,"AAAAABP//BM=",0)</f>
        <v>#REF!</v>
      </c>
      <c r="U14" t="e">
        <f>AND(#REF!,"AAAAABP//BQ=")</f>
        <v>#REF!</v>
      </c>
      <c r="V14" t="e">
        <f>AND(#REF!,"AAAAABP//BU=")</f>
        <v>#REF!</v>
      </c>
      <c r="W14" t="e">
        <f>AND(#REF!,"AAAAABP//BY=")</f>
        <v>#REF!</v>
      </c>
      <c r="X14" t="e">
        <f>IF(#REF!,"AAAAABP//Bc=",0)</f>
        <v>#REF!</v>
      </c>
      <c r="Y14" t="e">
        <f>AND(#REF!,"AAAAABP//Bg=")</f>
        <v>#REF!</v>
      </c>
      <c r="Z14" t="e">
        <f>AND(#REF!,"AAAAABP//Bk=")</f>
        <v>#REF!</v>
      </c>
      <c r="AA14" t="e">
        <f>AND(#REF!,"AAAAABP//Bo=")</f>
        <v>#REF!</v>
      </c>
      <c r="AB14" t="e">
        <f>IF(#REF!,"AAAAABP//Bs=",0)</f>
        <v>#REF!</v>
      </c>
      <c r="AC14" t="e">
        <f>AND(#REF!,"AAAAABP//Bw=")</f>
        <v>#REF!</v>
      </c>
      <c r="AD14" t="e">
        <f>AND(#REF!,"AAAAABP//B0=")</f>
        <v>#REF!</v>
      </c>
      <c r="AE14" t="e">
        <f>AND(#REF!,"AAAAABP//B4=")</f>
        <v>#REF!</v>
      </c>
      <c r="AF14" t="e">
        <f>IF(#REF!,"AAAAABP//B8=",0)</f>
        <v>#REF!</v>
      </c>
      <c r="AG14" t="e">
        <f>AND(#REF!,"AAAAABP//CA=")</f>
        <v>#REF!</v>
      </c>
      <c r="AH14" t="e">
        <f>AND(#REF!,"AAAAABP//CE=")</f>
        <v>#REF!</v>
      </c>
      <c r="AI14" t="e">
        <f>AND(#REF!,"AAAAABP//CI=")</f>
        <v>#REF!</v>
      </c>
      <c r="AJ14" t="e">
        <f>IF(#REF!,"AAAAABP//CM=",0)</f>
        <v>#REF!</v>
      </c>
      <c r="AK14" t="e">
        <f>AND(#REF!,"AAAAABP//CQ=")</f>
        <v>#REF!</v>
      </c>
      <c r="AL14" t="e">
        <f>AND(#REF!,"AAAAABP//CU=")</f>
        <v>#REF!</v>
      </c>
      <c r="AM14" t="e">
        <f>AND(#REF!,"AAAAABP//CY=")</f>
        <v>#REF!</v>
      </c>
      <c r="AN14" t="e">
        <f>IF(#REF!,"AAAAABP//Cc=",0)</f>
        <v>#REF!</v>
      </c>
      <c r="AO14" t="e">
        <f>AND(#REF!,"AAAAABP//Cg=")</f>
        <v>#REF!</v>
      </c>
      <c r="AP14" t="e">
        <f>AND(#REF!,"AAAAABP//Ck=")</f>
        <v>#REF!</v>
      </c>
      <c r="AQ14" t="e">
        <f>AND(#REF!,"AAAAABP//Co=")</f>
        <v>#REF!</v>
      </c>
      <c r="AR14" t="e">
        <f>IF(#REF!,"AAAAABP//Cs=",0)</f>
        <v>#REF!</v>
      </c>
      <c r="AS14" t="e">
        <f>AND(#REF!,"AAAAABP//Cw=")</f>
        <v>#REF!</v>
      </c>
      <c r="AT14" t="e">
        <f>AND(#REF!,"AAAAABP//C0=")</f>
        <v>#REF!</v>
      </c>
      <c r="AU14" t="e">
        <f>AND(#REF!,"AAAAABP//C4=")</f>
        <v>#REF!</v>
      </c>
      <c r="AV14" t="e">
        <f>IF(#REF!,"AAAAABP//C8=",0)</f>
        <v>#REF!</v>
      </c>
      <c r="AW14" t="e">
        <f>AND(#REF!,"AAAAABP//DA=")</f>
        <v>#REF!</v>
      </c>
      <c r="AX14" t="e">
        <f>AND(#REF!,"AAAAABP//DE=")</f>
        <v>#REF!</v>
      </c>
      <c r="AY14" t="e">
        <f>AND(#REF!,"AAAAABP//DI=")</f>
        <v>#REF!</v>
      </c>
      <c r="AZ14" t="e">
        <f>IF(#REF!,"AAAAABP//DM=",0)</f>
        <v>#REF!</v>
      </c>
      <c r="BA14" t="e">
        <f>AND(#REF!,"AAAAABP//DQ=")</f>
        <v>#REF!</v>
      </c>
      <c r="BB14" t="e">
        <f>AND(#REF!,"AAAAABP//DU=")</f>
        <v>#REF!</v>
      </c>
      <c r="BC14" t="e">
        <f>AND(#REF!,"AAAAABP//DY=")</f>
        <v>#REF!</v>
      </c>
      <c r="BD14" t="e">
        <f>IF(#REF!,"AAAAABP//Dc=",0)</f>
        <v>#REF!</v>
      </c>
      <c r="BE14" t="e">
        <f>AND(#REF!,"AAAAABP//Dg=")</f>
        <v>#REF!</v>
      </c>
      <c r="BF14" t="e">
        <f>AND(#REF!,"AAAAABP//Dk=")</f>
        <v>#REF!</v>
      </c>
      <c r="BG14" t="e">
        <f>AND(#REF!,"AAAAABP//Do=")</f>
        <v>#REF!</v>
      </c>
      <c r="BH14" t="e">
        <f>IF(#REF!,"AAAAABP//Ds=",0)</f>
        <v>#REF!</v>
      </c>
      <c r="BI14" t="e">
        <f>AND(#REF!,"AAAAABP//Dw=")</f>
        <v>#REF!</v>
      </c>
      <c r="BJ14" t="e">
        <f>AND(#REF!,"AAAAABP//D0=")</f>
        <v>#REF!</v>
      </c>
      <c r="BK14" t="e">
        <f>AND(#REF!,"AAAAABP//D4=")</f>
        <v>#REF!</v>
      </c>
      <c r="BL14" t="e">
        <f>IF(#REF!,"AAAAABP//D8=",0)</f>
        <v>#REF!</v>
      </c>
      <c r="BM14" t="e">
        <f>AND(#REF!,"AAAAABP//EA=")</f>
        <v>#REF!</v>
      </c>
      <c r="BN14" t="e">
        <f>AND(#REF!,"AAAAABP//EE=")</f>
        <v>#REF!</v>
      </c>
      <c r="BO14" t="e">
        <f>AND(#REF!,"AAAAABP//EI=")</f>
        <v>#REF!</v>
      </c>
      <c r="BP14" t="e">
        <f>IF(#REF!,"AAAAABP//EM=",0)</f>
        <v>#REF!</v>
      </c>
      <c r="BQ14" t="e">
        <f>AND(#REF!,"AAAAABP//EQ=")</f>
        <v>#REF!</v>
      </c>
      <c r="BR14" t="e">
        <f>AND(#REF!,"AAAAABP//EU=")</f>
        <v>#REF!</v>
      </c>
      <c r="BS14" t="e">
        <f>AND(#REF!,"AAAAABP//EY=")</f>
        <v>#REF!</v>
      </c>
      <c r="BT14" t="e">
        <f>IF(#REF!,"AAAAABP//Ec=",0)</f>
        <v>#REF!</v>
      </c>
      <c r="BU14" t="e">
        <f>AND(#REF!,"AAAAABP//Eg=")</f>
        <v>#REF!</v>
      </c>
      <c r="BV14" t="e">
        <f>AND(#REF!,"AAAAABP//Ek=")</f>
        <v>#REF!</v>
      </c>
      <c r="BW14" t="e">
        <f>AND(#REF!,"AAAAABP//Eo=")</f>
        <v>#REF!</v>
      </c>
      <c r="BX14" t="e">
        <f>IF(#REF!,"AAAAABP//Es=",0)</f>
        <v>#REF!</v>
      </c>
      <c r="BY14" t="e">
        <f>AND(#REF!,"AAAAABP//Ew=")</f>
        <v>#REF!</v>
      </c>
      <c r="BZ14" t="e">
        <f>AND(#REF!,"AAAAABP//E0=")</f>
        <v>#REF!</v>
      </c>
      <c r="CA14" t="e">
        <f>AND(#REF!,"AAAAABP//E4=")</f>
        <v>#REF!</v>
      </c>
      <c r="CB14" t="e">
        <f>IF(#REF!,"AAAAABP//E8=",0)</f>
        <v>#REF!</v>
      </c>
      <c r="CC14" t="e">
        <f>AND(#REF!,"AAAAABP//FA=")</f>
        <v>#REF!</v>
      </c>
      <c r="CD14" t="e">
        <f>AND(#REF!,"AAAAABP//FE=")</f>
        <v>#REF!</v>
      </c>
      <c r="CE14" t="e">
        <f>AND(#REF!,"AAAAABP//FI=")</f>
        <v>#REF!</v>
      </c>
      <c r="CF14" t="e">
        <f>IF(#REF!,"AAAAABP//FM=",0)</f>
        <v>#REF!</v>
      </c>
      <c r="CG14" t="e">
        <f>AND(#REF!,"AAAAABP//FQ=")</f>
        <v>#REF!</v>
      </c>
      <c r="CH14" t="e">
        <f>AND(#REF!,"AAAAABP//FU=")</f>
        <v>#REF!</v>
      </c>
      <c r="CI14" t="e">
        <f>AND(#REF!,"AAAAABP//FY=")</f>
        <v>#REF!</v>
      </c>
      <c r="CJ14" t="e">
        <f>IF(#REF!,"AAAAABP//Fc=",0)</f>
        <v>#REF!</v>
      </c>
      <c r="CK14" t="e">
        <f>AND(#REF!,"AAAAABP//Fg=")</f>
        <v>#REF!</v>
      </c>
      <c r="CL14" t="e">
        <f>AND(#REF!,"AAAAABP//Fk=")</f>
        <v>#REF!</v>
      </c>
      <c r="CM14" t="e">
        <f>AND(#REF!,"AAAAABP//Fo=")</f>
        <v>#REF!</v>
      </c>
      <c r="CN14" t="e">
        <f>IF(#REF!,"AAAAABP//Fs=",0)</f>
        <v>#REF!</v>
      </c>
      <c r="CO14" t="e">
        <f>AND(#REF!,"AAAAABP//Fw=")</f>
        <v>#REF!</v>
      </c>
      <c r="CP14" t="e">
        <f>AND(#REF!,"AAAAABP//F0=")</f>
        <v>#REF!</v>
      </c>
      <c r="CQ14" t="e">
        <f>AND(#REF!,"AAAAABP//F4=")</f>
        <v>#REF!</v>
      </c>
      <c r="CR14" t="e">
        <f>IF(#REF!,"AAAAABP//F8=",0)</f>
        <v>#REF!</v>
      </c>
      <c r="CS14" t="e">
        <f>AND(#REF!,"AAAAABP//GA=")</f>
        <v>#REF!</v>
      </c>
      <c r="CT14" t="e">
        <f>AND(#REF!,"AAAAABP//GE=")</f>
        <v>#REF!</v>
      </c>
      <c r="CU14" t="e">
        <f>AND(#REF!,"AAAAABP//GI=")</f>
        <v>#REF!</v>
      </c>
      <c r="CV14" t="e">
        <f>IF(#REF!,"AAAAABP//GM=",0)</f>
        <v>#REF!</v>
      </c>
      <c r="CW14" t="e">
        <f>AND(#REF!,"AAAAABP//GQ=")</f>
        <v>#REF!</v>
      </c>
      <c r="CX14" t="e">
        <f>AND(#REF!,"AAAAABP//GU=")</f>
        <v>#REF!</v>
      </c>
      <c r="CY14" t="e">
        <f>AND(#REF!,"AAAAABP//GY=")</f>
        <v>#REF!</v>
      </c>
      <c r="CZ14" t="e">
        <f>IF(#REF!,"AAAAABP//Gc=",0)</f>
        <v>#REF!</v>
      </c>
      <c r="DA14" t="e">
        <f>IF(#REF!,"AAAAABP//Gg=",0)</f>
        <v>#REF!</v>
      </c>
      <c r="DB14" t="e">
        <f>IF(#REF!,"AAAAABP//Gk=",0)</f>
        <v>#REF!</v>
      </c>
      <c r="DC14" t="e">
        <f>IF(#REF!,"AAAAABP//Go=",0)</f>
        <v>#REF!</v>
      </c>
      <c r="DD14" t="e">
        <f>AND(#REF!,"AAAAABP//Gs=")</f>
        <v>#REF!</v>
      </c>
      <c r="DE14" t="e">
        <f>AND(#REF!,"AAAAABP//Gw=")</f>
        <v>#REF!</v>
      </c>
      <c r="DF14" t="e">
        <f>AND(#REF!,"AAAAABP//G0=")</f>
        <v>#REF!</v>
      </c>
      <c r="DG14" t="e">
        <f>IF(#REF!,"AAAAABP//G4=",0)</f>
        <v>#REF!</v>
      </c>
      <c r="DH14" t="e">
        <f>AND(#REF!,"AAAAABP//G8=")</f>
        <v>#REF!</v>
      </c>
      <c r="DI14" t="e">
        <f>AND(#REF!,"AAAAABP//HA=")</f>
        <v>#REF!</v>
      </c>
      <c r="DJ14" t="e">
        <f>AND(#REF!,"AAAAABP//HE=")</f>
        <v>#REF!</v>
      </c>
      <c r="DK14" t="e">
        <f>IF(#REF!,"AAAAABP//HI=",0)</f>
        <v>#REF!</v>
      </c>
      <c r="DL14" t="e">
        <f>AND(#REF!,"AAAAABP//HM=")</f>
        <v>#REF!</v>
      </c>
      <c r="DM14" t="e">
        <f>AND(#REF!,"AAAAABP//HQ=")</f>
        <v>#REF!</v>
      </c>
      <c r="DN14" t="e">
        <f>AND(#REF!,"AAAAABP//HU=")</f>
        <v>#REF!</v>
      </c>
      <c r="DO14" t="e">
        <f>IF(#REF!,"AAAAABP//HY=",0)</f>
        <v>#REF!</v>
      </c>
      <c r="DP14" t="e">
        <f>AND(#REF!,"AAAAABP//Hc=")</f>
        <v>#REF!</v>
      </c>
      <c r="DQ14" t="e">
        <f>AND(#REF!,"AAAAABP//Hg=")</f>
        <v>#REF!</v>
      </c>
      <c r="DR14" t="e">
        <f>AND(#REF!,"AAAAABP//Hk=")</f>
        <v>#REF!</v>
      </c>
      <c r="DS14" t="e">
        <f>IF(#REF!,"AAAAABP//Ho=",0)</f>
        <v>#REF!</v>
      </c>
      <c r="DT14" t="e">
        <f>AND(#REF!,"AAAAABP//Hs=")</f>
        <v>#REF!</v>
      </c>
      <c r="DU14" t="e">
        <f>AND(#REF!,"AAAAABP//Hw=")</f>
        <v>#REF!</v>
      </c>
      <c r="DV14" t="e">
        <f>AND(#REF!,"AAAAABP//H0=")</f>
        <v>#REF!</v>
      </c>
      <c r="DW14" t="e">
        <f>IF(#REF!,"AAAAABP//H4=",0)</f>
        <v>#REF!</v>
      </c>
      <c r="DX14" t="e">
        <f>AND(#REF!,"AAAAABP//H8=")</f>
        <v>#REF!</v>
      </c>
      <c r="DY14" t="e">
        <f>AND(#REF!,"AAAAABP//IA=")</f>
        <v>#REF!</v>
      </c>
      <c r="DZ14" t="e">
        <f>AND(#REF!,"AAAAABP//IE=")</f>
        <v>#REF!</v>
      </c>
      <c r="EA14" t="e">
        <f>IF(#REF!,"AAAAABP//II=",0)</f>
        <v>#REF!</v>
      </c>
      <c r="EB14" t="e">
        <f>AND(#REF!,"AAAAABP//IM=")</f>
        <v>#REF!</v>
      </c>
      <c r="EC14" t="e">
        <f>AND(#REF!,"AAAAABP//IQ=")</f>
        <v>#REF!</v>
      </c>
      <c r="ED14" t="e">
        <f>AND(#REF!,"AAAAABP//IU=")</f>
        <v>#REF!</v>
      </c>
      <c r="EE14" t="e">
        <f>IF(#REF!,"AAAAABP//IY=",0)</f>
        <v>#REF!</v>
      </c>
      <c r="EF14" t="e">
        <f>AND(#REF!,"AAAAABP//Ic=")</f>
        <v>#REF!</v>
      </c>
      <c r="EG14" t="e">
        <f>AND(#REF!,"AAAAABP//Ig=")</f>
        <v>#REF!</v>
      </c>
      <c r="EH14" t="e">
        <f>AND(#REF!,"AAAAABP//Ik=")</f>
        <v>#REF!</v>
      </c>
      <c r="EI14" t="e">
        <f>IF(#REF!,"AAAAABP//Io=",0)</f>
        <v>#REF!</v>
      </c>
      <c r="EJ14" t="e">
        <f>AND(#REF!,"AAAAABP//Is=")</f>
        <v>#REF!</v>
      </c>
      <c r="EK14" t="e">
        <f>AND(#REF!,"AAAAABP//Iw=")</f>
        <v>#REF!</v>
      </c>
      <c r="EL14" t="e">
        <f>IF(#REF!,"AAAAABP//I0=",0)</f>
        <v>#REF!</v>
      </c>
      <c r="EM14" t="e">
        <f>AND(#REF!,"AAAAABP//I4=")</f>
        <v>#REF!</v>
      </c>
      <c r="EN14" t="e">
        <f>AND(#REF!,"AAAAABP//I8=")</f>
        <v>#REF!</v>
      </c>
      <c r="EO14" t="e">
        <f>IF(#REF!,"AAAAABP//JA=",0)</f>
        <v>#REF!</v>
      </c>
      <c r="EP14" t="e">
        <f>AND(#REF!,"AAAAABP//JE=")</f>
        <v>#REF!</v>
      </c>
      <c r="EQ14" t="e">
        <f>AND(#REF!,"AAAAABP//JI=")</f>
        <v>#REF!</v>
      </c>
      <c r="ER14" t="e">
        <f>IF(#REF!,"AAAAABP//JM=",0)</f>
        <v>#REF!</v>
      </c>
      <c r="ES14" t="e">
        <f>AND(#REF!,"AAAAABP//JQ=")</f>
        <v>#REF!</v>
      </c>
      <c r="ET14" t="e">
        <f>AND(#REF!,"AAAAABP//JU=")</f>
        <v>#REF!</v>
      </c>
      <c r="EU14" t="e">
        <f>IF(#REF!,"AAAAABP//JY=",0)</f>
        <v>#REF!</v>
      </c>
      <c r="EV14" t="e">
        <f>AND(#REF!,"AAAAABP//Jc=")</f>
        <v>#REF!</v>
      </c>
      <c r="EW14" t="e">
        <f>AND(#REF!,"AAAAABP//Jg=")</f>
        <v>#REF!</v>
      </c>
      <c r="EX14" t="e">
        <f>IF(#REF!,"AAAAABP//Jk=",0)</f>
        <v>#REF!</v>
      </c>
      <c r="EY14" t="e">
        <f>AND(#REF!,"AAAAABP//Jo=")</f>
        <v>#REF!</v>
      </c>
      <c r="EZ14" t="e">
        <f>AND(#REF!,"AAAAABP//Js=")</f>
        <v>#REF!</v>
      </c>
      <c r="FA14" t="e">
        <f>IF(#REF!,"AAAAABP//Jw=",0)</f>
        <v>#REF!</v>
      </c>
      <c r="FB14" t="e">
        <f>AND(#REF!,"AAAAABP//J0=")</f>
        <v>#REF!</v>
      </c>
      <c r="FC14" t="e">
        <f>AND(#REF!,"AAAAABP//J4=")</f>
        <v>#REF!</v>
      </c>
      <c r="FD14" t="e">
        <f>IF(#REF!,"AAAAABP//J8=",0)</f>
        <v>#REF!</v>
      </c>
      <c r="FE14" t="e">
        <f>AND(#REF!,"AAAAABP//KA=")</f>
        <v>#REF!</v>
      </c>
      <c r="FF14" t="e">
        <f>AND(#REF!,"AAAAABP//KE=")</f>
        <v>#REF!</v>
      </c>
      <c r="FG14" t="e">
        <f>IF(#REF!,"AAAAABP//KI=",0)</f>
        <v>#REF!</v>
      </c>
      <c r="FH14" t="e">
        <f>AND(#REF!,"AAAAABP//KM=")</f>
        <v>#REF!</v>
      </c>
      <c r="FI14" t="e">
        <f>AND(#REF!,"AAAAABP//KQ=")</f>
        <v>#REF!</v>
      </c>
      <c r="FJ14" t="e">
        <f>IF(#REF!,"AAAAABP//KU=",0)</f>
        <v>#REF!</v>
      </c>
      <c r="FK14" t="e">
        <f>AND(#REF!,"AAAAABP//KY=")</f>
        <v>#REF!</v>
      </c>
      <c r="FL14" t="e">
        <f>AND(#REF!,"AAAAABP//Kc=")</f>
        <v>#REF!</v>
      </c>
      <c r="FM14" t="e">
        <f>IF(#REF!,"AAAAABP//Kg=",0)</f>
        <v>#REF!</v>
      </c>
      <c r="FN14" t="e">
        <f>AND(#REF!,"AAAAABP//Kk=")</f>
        <v>#REF!</v>
      </c>
      <c r="FO14" t="e">
        <f>AND(#REF!,"AAAAABP//Ko=")</f>
        <v>#REF!</v>
      </c>
      <c r="FP14" t="e">
        <f>IF(#REF!,"AAAAABP//Ks=",0)</f>
        <v>#REF!</v>
      </c>
      <c r="FQ14" t="e">
        <f>AND(#REF!,"AAAAABP//Kw=")</f>
        <v>#REF!</v>
      </c>
      <c r="FR14" t="e">
        <f>AND(#REF!,"AAAAABP//K0=")</f>
        <v>#REF!</v>
      </c>
      <c r="FS14" t="e">
        <f>IF(#REF!,"AAAAABP//K4=",0)</f>
        <v>#REF!</v>
      </c>
      <c r="FT14" t="e">
        <f>AND(#REF!,"AAAAABP//K8=")</f>
        <v>#REF!</v>
      </c>
      <c r="FU14" t="e">
        <f>AND(#REF!,"AAAAABP//LA=")</f>
        <v>#REF!</v>
      </c>
      <c r="FV14" t="e">
        <f>IF(#REF!,"AAAAABP//LE=",0)</f>
        <v>#REF!</v>
      </c>
      <c r="FW14" t="e">
        <f>AND(#REF!,"AAAAABP//LI=")</f>
        <v>#REF!</v>
      </c>
      <c r="FX14" t="e">
        <f>AND(#REF!,"AAAAABP//LM=")</f>
        <v>#REF!</v>
      </c>
      <c r="FY14" t="e">
        <f>IF(#REF!,"AAAAABP//LQ=",0)</f>
        <v>#REF!</v>
      </c>
      <c r="FZ14" t="e">
        <f>AND(#REF!,"AAAAABP//LU=")</f>
        <v>#REF!</v>
      </c>
      <c r="GA14" t="e">
        <f>AND(#REF!,"AAAAABP//LY=")</f>
        <v>#REF!</v>
      </c>
      <c r="GB14" t="e">
        <f>IF(#REF!,"AAAAABP//Lc=",0)</f>
        <v>#REF!</v>
      </c>
      <c r="GC14" t="e">
        <f>AND(#REF!,"AAAAABP//Lg=")</f>
        <v>#REF!</v>
      </c>
      <c r="GD14" t="e">
        <f>AND(#REF!,"AAAAABP//Lk=")</f>
        <v>#REF!</v>
      </c>
      <c r="GE14" t="e">
        <f>IF(#REF!,"AAAAABP//Lo=",0)</f>
        <v>#REF!</v>
      </c>
      <c r="GF14" t="e">
        <f>AND(#REF!,"AAAAABP//Ls=")</f>
        <v>#REF!</v>
      </c>
      <c r="GG14" t="e">
        <f>AND(#REF!,"AAAAABP//Lw=")</f>
        <v>#REF!</v>
      </c>
      <c r="GH14" t="e">
        <f>IF(#REF!,"AAAAABP//L0=",0)</f>
        <v>#REF!</v>
      </c>
      <c r="GI14" t="e">
        <f>AND(#REF!,"AAAAABP//L4=")</f>
        <v>#REF!</v>
      </c>
      <c r="GJ14" t="e">
        <f>AND(#REF!,"AAAAABP//L8=")</f>
        <v>#REF!</v>
      </c>
      <c r="GK14" t="e">
        <f>IF(#REF!,"AAAAABP//MA=",0)</f>
        <v>#REF!</v>
      </c>
      <c r="GL14" t="e">
        <f>AND(#REF!,"AAAAABP//ME=")</f>
        <v>#REF!</v>
      </c>
      <c r="GM14" t="e">
        <f>AND(#REF!,"AAAAABP//MI=")</f>
        <v>#REF!</v>
      </c>
      <c r="GN14" t="e">
        <f>IF(#REF!,"AAAAABP//MM=",0)</f>
        <v>#REF!</v>
      </c>
      <c r="GO14" t="e">
        <f>IF(#REF!,"AAAAABP//MQ=",0)</f>
        <v>#REF!</v>
      </c>
      <c r="GP14" t="e">
        <f>IF(#REF!,"AAAAABP//MU=",0)</f>
        <v>#REF!</v>
      </c>
      <c r="GQ14" t="s">
        <v>79</v>
      </c>
      <c r="GR14" t="s">
        <v>80</v>
      </c>
    </row>
    <row r="15" spans="1:256" x14ac:dyDescent="0.35">
      <c r="A15" t="s">
        <v>81</v>
      </c>
    </row>
    <row r="16" spans="1:256" x14ac:dyDescent="0.35">
      <c r="A16" t="s">
        <v>82</v>
      </c>
    </row>
    <row r="17" spans="1:1" x14ac:dyDescent="0.35">
      <c r="A17" t="s">
        <v>83</v>
      </c>
    </row>
    <row r="18" spans="1:1" x14ac:dyDescent="0.35">
      <c r="A18" t="s">
        <v>84</v>
      </c>
    </row>
    <row r="19" spans="1:1" x14ac:dyDescent="0.35">
      <c r="A19" t="s">
        <v>85</v>
      </c>
    </row>
    <row r="20" spans="1:1" x14ac:dyDescent="0.35">
      <c r="A20" t="s">
        <v>86</v>
      </c>
    </row>
    <row r="21" spans="1:1" x14ac:dyDescent="0.35">
      <c r="A21" t="s">
        <v>87</v>
      </c>
    </row>
    <row r="22" spans="1:1" x14ac:dyDescent="0.35">
      <c r="A22" t="s">
        <v>88</v>
      </c>
    </row>
    <row r="23" spans="1:1" x14ac:dyDescent="0.35">
      <c r="A23" t="s">
        <v>89</v>
      </c>
    </row>
    <row r="24" spans="1:1" x14ac:dyDescent="0.35">
      <c r="A24" t="s">
        <v>90</v>
      </c>
    </row>
    <row r="25" spans="1:1" x14ac:dyDescent="0.35">
      <c r="A25" t="s">
        <v>91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Teoria</vt:lpstr>
      <vt:lpstr>Quices</vt:lpstr>
      <vt:lpstr>Tareas</vt:lpstr>
      <vt:lpstr>Investigación</vt:lpstr>
      <vt:lpstr>Evaluaciones</vt:lpstr>
      <vt:lpstr>Proyecto</vt:lpstr>
      <vt:lpstr>GruposInv</vt:lpstr>
      <vt:lpstr>GruposProy</vt:lpstr>
      <vt:lpstr>DV-IDENTITY-0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Notas CI-2414</dc:title>
  <dc:creator>Kryscia Daviana Ramírez Benavides</dc:creator>
  <cp:lastModifiedBy>Kryscia Ramírez Benavides</cp:lastModifiedBy>
  <cp:revision>27</cp:revision>
  <cp:lastPrinted>2019-02-26T22:20:08Z</cp:lastPrinted>
  <dcterms:created xsi:type="dcterms:W3CDTF">2003-03-20T16:00:06Z</dcterms:created>
  <dcterms:modified xsi:type="dcterms:W3CDTF">2020-07-06T22:15:53Z</dcterms:modified>
</cp:coreProperties>
</file>